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Nov2020\"/>
    </mc:Choice>
  </mc:AlternateContent>
  <workbookProtection workbookPassword="FB84" lockStructure="1"/>
  <bookViews>
    <workbookView xWindow="0" yWindow="0" windowWidth="10785" windowHeight="12030" tabRatio="792" firstSheet="5" activeTab="21"/>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'SC1'!$A$1:$E$50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E104" i="172" l="1"/>
  <c r="A104" i="172"/>
  <c r="J103" i="172"/>
  <c r="I103" i="172"/>
  <c r="H103" i="172"/>
  <c r="G103" i="172"/>
  <c r="F103" i="172"/>
  <c r="E103" i="172"/>
  <c r="D103" i="172"/>
  <c r="C103" i="172"/>
  <c r="B103" i="172"/>
  <c r="A103" i="172"/>
  <c r="J102" i="172"/>
  <c r="I102" i="172"/>
  <c r="H102" i="172"/>
  <c r="G102" i="172"/>
  <c r="F102" i="172"/>
  <c r="E102" i="172"/>
  <c r="D102" i="172"/>
  <c r="C102" i="172"/>
  <c r="B102" i="172"/>
  <c r="A101" i="172"/>
  <c r="A81" i="172"/>
  <c r="A80" i="172"/>
  <c r="A79" i="172"/>
  <c r="A78" i="172"/>
  <c r="C77" i="172"/>
  <c r="B77" i="172"/>
  <c r="A76" i="172"/>
  <c r="I54" i="172"/>
  <c r="H54" i="172"/>
  <c r="G54" i="172"/>
  <c r="F54" i="172"/>
  <c r="E54" i="172"/>
  <c r="D54" i="172"/>
  <c r="C54" i="172"/>
  <c r="B54" i="172"/>
  <c r="A54" i="172"/>
  <c r="F53" i="172"/>
  <c r="E53" i="172"/>
  <c r="A53" i="172"/>
  <c r="I52" i="172"/>
  <c r="H52" i="172"/>
  <c r="G52" i="172"/>
  <c r="F52" i="172"/>
  <c r="E52" i="172"/>
  <c r="D52" i="172"/>
  <c r="C52" i="172"/>
  <c r="B52" i="172"/>
  <c r="A51" i="172"/>
  <c r="C39" i="172"/>
  <c r="B39" i="172"/>
  <c r="A39" i="172"/>
  <c r="C38" i="172"/>
  <c r="A38" i="172"/>
  <c r="C37" i="172"/>
  <c r="A37" i="172"/>
  <c r="C36" i="172"/>
  <c r="A36" i="172"/>
  <c r="C35" i="172"/>
  <c r="A35" i="172"/>
  <c r="C34" i="172"/>
  <c r="A34" i="172"/>
  <c r="C33" i="172"/>
  <c r="B33" i="172"/>
  <c r="A33" i="172"/>
  <c r="C32" i="172"/>
  <c r="A32" i="172"/>
  <c r="C31" i="172"/>
  <c r="B31" i="172"/>
  <c r="A31" i="172"/>
  <c r="C30" i="172"/>
  <c r="B30" i="172"/>
  <c r="A30" i="172"/>
  <c r="C29" i="172"/>
  <c r="B29" i="172"/>
  <c r="A29" i="172"/>
  <c r="C28" i="172"/>
  <c r="B28" i="172"/>
  <c r="A28" i="172"/>
  <c r="C27" i="172"/>
  <c r="B27" i="172"/>
  <c r="A26" i="172"/>
  <c r="E14" i="172"/>
  <c r="D14" i="172"/>
  <c r="C14" i="172"/>
  <c r="B14" i="172"/>
  <c r="A14" i="172"/>
  <c r="E13" i="172"/>
  <c r="D13" i="172"/>
  <c r="C13" i="172"/>
  <c r="B13" i="172"/>
  <c r="A13" i="172"/>
  <c r="E12" i="172"/>
  <c r="D12" i="172"/>
  <c r="C12" i="172"/>
  <c r="B12" i="172"/>
  <c r="A12" i="172"/>
  <c r="E11" i="172"/>
  <c r="D11" i="172"/>
  <c r="C11" i="172"/>
  <c r="B11" i="172"/>
  <c r="A11" i="172"/>
  <c r="E10" i="172"/>
  <c r="D10" i="172"/>
  <c r="C10" i="172"/>
  <c r="B10" i="172"/>
  <c r="A10" i="172"/>
  <c r="E9" i="172"/>
  <c r="D9" i="172"/>
  <c r="C9" i="172"/>
  <c r="B9" i="172"/>
  <c r="A9" i="172"/>
  <c r="E8" i="172"/>
  <c r="D8" i="172"/>
  <c r="C8" i="172"/>
  <c r="B8" i="172"/>
  <c r="A8" i="172"/>
  <c r="E7" i="172"/>
  <c r="D7" i="172"/>
  <c r="C7" i="172"/>
  <c r="B7" i="172"/>
  <c r="A7" i="172"/>
  <c r="E6" i="172"/>
  <c r="D6" i="172"/>
  <c r="C6" i="172"/>
  <c r="B6" i="172"/>
  <c r="A6" i="172"/>
  <c r="E5" i="172"/>
  <c r="D5" i="172"/>
  <c r="C5" i="172"/>
  <c r="B5" i="172"/>
  <c r="A5" i="172"/>
  <c r="E4" i="172"/>
  <c r="D4" i="172"/>
  <c r="C4" i="172"/>
  <c r="B4" i="172"/>
  <c r="A4" i="172"/>
  <c r="E3" i="172"/>
  <c r="D3" i="172"/>
  <c r="C3" i="172"/>
  <c r="B3" i="172"/>
  <c r="A3" i="172"/>
  <c r="E2" i="172"/>
  <c r="D2" i="172"/>
  <c r="C2" i="172"/>
  <c r="B2" i="172"/>
  <c r="A1" i="172"/>
  <c r="K171" i="335"/>
  <c r="H171" i="335"/>
  <c r="E171" i="335"/>
  <c r="D171" i="335"/>
  <c r="C171" i="335"/>
  <c r="A168" i="335"/>
  <c r="K166" i="335"/>
  <c r="H166" i="335"/>
  <c r="E166" i="335"/>
  <c r="D166" i="335"/>
  <c r="C166" i="335"/>
  <c r="J165" i="335"/>
  <c r="J164" i="335"/>
  <c r="I164" i="335"/>
  <c r="K163" i="335"/>
  <c r="J163" i="335"/>
  <c r="I163" i="335"/>
  <c r="H163" i="335"/>
  <c r="G163" i="335"/>
  <c r="F163" i="335"/>
  <c r="E163" i="335"/>
  <c r="D163" i="335"/>
  <c r="C163" i="335"/>
  <c r="J161" i="335"/>
  <c r="I161" i="335"/>
  <c r="K160" i="335"/>
  <c r="J160" i="335"/>
  <c r="I160" i="335"/>
  <c r="H160" i="335"/>
  <c r="G160" i="335"/>
  <c r="F160" i="335"/>
  <c r="E160" i="335"/>
  <c r="D160" i="335"/>
  <c r="C160" i="335"/>
  <c r="K158" i="335"/>
  <c r="I158" i="335"/>
  <c r="J158" i="335" s="1"/>
  <c r="H158" i="335"/>
  <c r="K157" i="335"/>
  <c r="I157" i="335"/>
  <c r="J157" i="335" s="1"/>
  <c r="H157" i="335"/>
  <c r="G157" i="335"/>
  <c r="F157" i="335"/>
  <c r="E157" i="335"/>
  <c r="D157" i="335"/>
  <c r="C157" i="335"/>
  <c r="J155" i="335"/>
  <c r="I155" i="335"/>
  <c r="K154" i="335"/>
  <c r="J154" i="335"/>
  <c r="I154" i="335"/>
  <c r="H154" i="335"/>
  <c r="G154" i="335"/>
  <c r="F154" i="335"/>
  <c r="E154" i="335"/>
  <c r="D154" i="335"/>
  <c r="C154" i="335"/>
  <c r="J153" i="335"/>
  <c r="K152" i="335"/>
  <c r="J152" i="335"/>
  <c r="I152" i="335"/>
  <c r="H152" i="335"/>
  <c r="K151" i="335"/>
  <c r="J151" i="335"/>
  <c r="I151" i="335"/>
  <c r="H151" i="335"/>
  <c r="G151" i="335"/>
  <c r="F151" i="335"/>
  <c r="E151" i="335"/>
  <c r="D151" i="335"/>
  <c r="C151" i="335"/>
  <c r="K149" i="335"/>
  <c r="J149" i="335"/>
  <c r="I149" i="335"/>
  <c r="H149" i="335"/>
  <c r="K148" i="335"/>
  <c r="J148" i="335"/>
  <c r="I148" i="335"/>
  <c r="H148" i="335"/>
  <c r="G148" i="335"/>
  <c r="F148" i="335"/>
  <c r="E148" i="335"/>
  <c r="D148" i="335"/>
  <c r="C148" i="335"/>
  <c r="J146" i="335"/>
  <c r="I146" i="335"/>
  <c r="J145" i="335"/>
  <c r="I145" i="335"/>
  <c r="J144" i="335"/>
  <c r="I144" i="335"/>
  <c r="J143" i="335"/>
  <c r="I143" i="335"/>
  <c r="J142" i="335"/>
  <c r="I142" i="335"/>
  <c r="J141" i="335"/>
  <c r="I141" i="335"/>
  <c r="K140" i="335"/>
  <c r="H140" i="335"/>
  <c r="G140" i="335"/>
  <c r="I140" i="335" s="1"/>
  <c r="J140" i="335" s="1"/>
  <c r="F140" i="335"/>
  <c r="E140" i="335"/>
  <c r="D140" i="335"/>
  <c r="C140" i="335"/>
  <c r="J139" i="335"/>
  <c r="I139" i="335"/>
  <c r="K138" i="335"/>
  <c r="H138" i="335"/>
  <c r="F138" i="335"/>
  <c r="E138" i="335"/>
  <c r="D138" i="335"/>
  <c r="C138" i="335"/>
  <c r="J137" i="335"/>
  <c r="J136" i="335"/>
  <c r="I136" i="335"/>
  <c r="K135" i="335"/>
  <c r="J135" i="335"/>
  <c r="I135" i="335"/>
  <c r="H135" i="335"/>
  <c r="G135" i="335"/>
  <c r="F135" i="335"/>
  <c r="E135" i="335"/>
  <c r="D135" i="335"/>
  <c r="C135" i="335"/>
  <c r="J134" i="335"/>
  <c r="J133" i="335"/>
  <c r="I133" i="335"/>
  <c r="J132" i="335"/>
  <c r="I132" i="335"/>
  <c r="J131" i="335"/>
  <c r="I131" i="335"/>
  <c r="K130" i="335"/>
  <c r="J130" i="335"/>
  <c r="I130" i="335"/>
  <c r="H130" i="335"/>
  <c r="G130" i="335"/>
  <c r="F130" i="335"/>
  <c r="E130" i="335"/>
  <c r="D130" i="335"/>
  <c r="C130" i="335"/>
  <c r="J129" i="335"/>
  <c r="I129" i="335"/>
  <c r="J128" i="335"/>
  <c r="I128" i="335"/>
  <c r="J127" i="335"/>
  <c r="I127" i="335"/>
  <c r="J126" i="335"/>
  <c r="I126" i="335"/>
  <c r="J125" i="335"/>
  <c r="I125" i="335"/>
  <c r="J124" i="335"/>
  <c r="I124" i="335"/>
  <c r="J123" i="335"/>
  <c r="I123" i="335"/>
  <c r="J122" i="335"/>
  <c r="I122" i="335"/>
  <c r="J121" i="335"/>
  <c r="I121" i="335"/>
  <c r="J120" i="335"/>
  <c r="I120" i="335"/>
  <c r="J119" i="335"/>
  <c r="I119" i="335"/>
  <c r="K118" i="335"/>
  <c r="J118" i="335"/>
  <c r="I118" i="335"/>
  <c r="H118" i="335"/>
  <c r="G118" i="335"/>
  <c r="F118" i="335"/>
  <c r="E118" i="335"/>
  <c r="D118" i="335"/>
  <c r="C118" i="335"/>
  <c r="K117" i="335"/>
  <c r="J117" i="335"/>
  <c r="I117" i="335"/>
  <c r="H117" i="335"/>
  <c r="G117" i="335"/>
  <c r="F117" i="335"/>
  <c r="E117" i="335"/>
  <c r="D117" i="335"/>
  <c r="C117" i="335"/>
  <c r="J116" i="335"/>
  <c r="I116" i="335"/>
  <c r="J115" i="335"/>
  <c r="I115" i="335"/>
  <c r="K114" i="335"/>
  <c r="J114" i="335"/>
  <c r="I114" i="335"/>
  <c r="H114" i="335"/>
  <c r="G114" i="335"/>
  <c r="F114" i="335"/>
  <c r="E114" i="335"/>
  <c r="D114" i="335"/>
  <c r="C114" i="335"/>
  <c r="J113" i="335"/>
  <c r="I113" i="335"/>
  <c r="J112" i="335"/>
  <c r="I112" i="335"/>
  <c r="K111" i="335"/>
  <c r="J111" i="335"/>
  <c r="I111" i="335"/>
  <c r="H111" i="335"/>
  <c r="G111" i="335"/>
  <c r="F111" i="335"/>
  <c r="E111" i="335"/>
  <c r="D111" i="335"/>
  <c r="C111" i="335"/>
  <c r="K110" i="335"/>
  <c r="J110" i="335"/>
  <c r="I110" i="335"/>
  <c r="H110" i="335"/>
  <c r="G110" i="335"/>
  <c r="F110" i="335"/>
  <c r="E110" i="335"/>
  <c r="D110" i="335"/>
  <c r="C110" i="335"/>
  <c r="J109" i="335"/>
  <c r="I109" i="335"/>
  <c r="K108" i="335"/>
  <c r="I108" i="335"/>
  <c r="J108" i="335" s="1"/>
  <c r="H108" i="335"/>
  <c r="J107" i="335"/>
  <c r="I107" i="335"/>
  <c r="J106" i="335"/>
  <c r="I106" i="335"/>
  <c r="J105" i="335"/>
  <c r="I105" i="335"/>
  <c r="J104" i="335"/>
  <c r="I104" i="335"/>
  <c r="K103" i="335"/>
  <c r="H103" i="335"/>
  <c r="G103" i="335"/>
  <c r="I103" i="335" s="1"/>
  <c r="J103" i="335" s="1"/>
  <c r="F103" i="335"/>
  <c r="E103" i="335"/>
  <c r="D103" i="335"/>
  <c r="C103" i="335"/>
  <c r="J102" i="335"/>
  <c r="I102" i="335"/>
  <c r="J101" i="335"/>
  <c r="I101" i="335"/>
  <c r="J100" i="335"/>
  <c r="I100" i="335"/>
  <c r="K99" i="335"/>
  <c r="J99" i="335"/>
  <c r="I99" i="335"/>
  <c r="H99" i="335"/>
  <c r="G99" i="335"/>
  <c r="F99" i="335"/>
  <c r="E99" i="335"/>
  <c r="D99" i="335"/>
  <c r="C99" i="335"/>
  <c r="J98" i="335"/>
  <c r="I98" i="335"/>
  <c r="J97" i="335"/>
  <c r="I97" i="335"/>
  <c r="J96" i="335"/>
  <c r="I96" i="335"/>
  <c r="J95" i="335"/>
  <c r="I95" i="335"/>
  <c r="J94" i="335"/>
  <c r="I94" i="335"/>
  <c r="J93" i="335"/>
  <c r="I93" i="335"/>
  <c r="J92" i="335"/>
  <c r="I92" i="335"/>
  <c r="J91" i="335"/>
  <c r="I91" i="335"/>
  <c r="J90" i="335"/>
  <c r="I90" i="335"/>
  <c r="J89" i="335"/>
  <c r="I89" i="335"/>
  <c r="J88" i="335"/>
  <c r="I88" i="335"/>
  <c r="J87" i="335"/>
  <c r="I87" i="335"/>
  <c r="J86" i="335"/>
  <c r="I86" i="335"/>
  <c r="J85" i="335"/>
  <c r="I85" i="335"/>
  <c r="J84" i="335"/>
  <c r="I84" i="335"/>
  <c r="J83" i="335"/>
  <c r="I83" i="335"/>
  <c r="J82" i="335"/>
  <c r="I82" i="335"/>
  <c r="J81" i="335"/>
  <c r="I81" i="335"/>
  <c r="J80" i="335"/>
  <c r="I80" i="335"/>
  <c r="J79" i="335"/>
  <c r="I79" i="335"/>
  <c r="J78" i="335"/>
  <c r="I78" i="335"/>
  <c r="K77" i="335"/>
  <c r="I77" i="335"/>
  <c r="J77" i="335" s="1"/>
  <c r="H77" i="335"/>
  <c r="K76" i="335"/>
  <c r="H76" i="335"/>
  <c r="G76" i="335"/>
  <c r="I76" i="335" s="1"/>
  <c r="J76" i="335" s="1"/>
  <c r="F76" i="335"/>
  <c r="F75" i="335" s="1"/>
  <c r="E76" i="335"/>
  <c r="D76" i="335"/>
  <c r="C76" i="335"/>
  <c r="K75" i="335"/>
  <c r="H75" i="335"/>
  <c r="G75" i="335"/>
  <c r="I75" i="335" s="1"/>
  <c r="J75" i="335" s="1"/>
  <c r="E75" i="335"/>
  <c r="D75" i="335"/>
  <c r="C75" i="335"/>
  <c r="J74" i="335"/>
  <c r="J73" i="335"/>
  <c r="I73" i="335"/>
  <c r="J72" i="335"/>
  <c r="I72" i="335"/>
  <c r="J71" i="335"/>
  <c r="I71" i="335"/>
  <c r="J70" i="335"/>
  <c r="I70" i="335"/>
  <c r="K69" i="335"/>
  <c r="J69" i="335"/>
  <c r="I69" i="335"/>
  <c r="H69" i="335"/>
  <c r="G69" i="335"/>
  <c r="F69" i="335"/>
  <c r="E69" i="335"/>
  <c r="D69" i="335"/>
  <c r="C69" i="335"/>
  <c r="J68" i="335"/>
  <c r="I68" i="335"/>
  <c r="J67" i="335"/>
  <c r="I67" i="335"/>
  <c r="J66" i="335"/>
  <c r="I66" i="335"/>
  <c r="J65" i="335"/>
  <c r="I65" i="335"/>
  <c r="J64" i="335"/>
  <c r="I64" i="335"/>
  <c r="K63" i="335"/>
  <c r="J63" i="335"/>
  <c r="I63" i="335"/>
  <c r="H63" i="335"/>
  <c r="G63" i="335"/>
  <c r="F63" i="335"/>
  <c r="E63" i="335"/>
  <c r="D63" i="335"/>
  <c r="C63" i="335"/>
  <c r="J62" i="335"/>
  <c r="I62" i="335"/>
  <c r="J61" i="335"/>
  <c r="I61" i="335"/>
  <c r="J60" i="335"/>
  <c r="I60" i="335"/>
  <c r="J59" i="335"/>
  <c r="I59" i="335"/>
  <c r="J58" i="335"/>
  <c r="I58" i="335"/>
  <c r="J57" i="335"/>
  <c r="I57" i="335"/>
  <c r="J56" i="335"/>
  <c r="I56" i="335"/>
  <c r="J55" i="335"/>
  <c r="I55" i="335"/>
  <c r="J54" i="335"/>
  <c r="I54" i="335"/>
  <c r="K53" i="335"/>
  <c r="J53" i="335"/>
  <c r="I53" i="335"/>
  <c r="H53" i="335"/>
  <c r="G53" i="335"/>
  <c r="F53" i="335"/>
  <c r="E53" i="335"/>
  <c r="D53" i="335"/>
  <c r="C53" i="335"/>
  <c r="J52" i="335"/>
  <c r="I52" i="335"/>
  <c r="J51" i="335"/>
  <c r="I51" i="335"/>
  <c r="J50" i="335"/>
  <c r="I50" i="335"/>
  <c r="J49" i="335"/>
  <c r="I49" i="335"/>
  <c r="J48" i="335"/>
  <c r="I48" i="335"/>
  <c r="J47" i="335"/>
  <c r="I47" i="335"/>
  <c r="K46" i="335"/>
  <c r="I46" i="335"/>
  <c r="J46" i="335" s="1"/>
  <c r="H46" i="335"/>
  <c r="K45" i="335"/>
  <c r="H45" i="335"/>
  <c r="G45" i="335"/>
  <c r="I45" i="335" s="1"/>
  <c r="J45" i="335" s="1"/>
  <c r="F45" i="335"/>
  <c r="E45" i="335"/>
  <c r="D45" i="335"/>
  <c r="C45" i="335"/>
  <c r="J44" i="335"/>
  <c r="I44" i="335"/>
  <c r="J43" i="335"/>
  <c r="I43" i="335"/>
  <c r="I42" i="335"/>
  <c r="J42" i="335" s="1"/>
  <c r="I41" i="335"/>
  <c r="J41" i="335" s="1"/>
  <c r="J40" i="335"/>
  <c r="I40" i="335"/>
  <c r="J39" i="335"/>
  <c r="I39" i="335"/>
  <c r="K38" i="335"/>
  <c r="I38" i="335"/>
  <c r="J38" i="335" s="1"/>
  <c r="H38" i="335"/>
  <c r="G38" i="335"/>
  <c r="F38" i="335"/>
  <c r="E38" i="335"/>
  <c r="D38" i="335"/>
  <c r="C38" i="335"/>
  <c r="J37" i="335"/>
  <c r="I37" i="335"/>
  <c r="J36" i="335"/>
  <c r="I36" i="335"/>
  <c r="J35" i="335"/>
  <c r="I35" i="335"/>
  <c r="I34" i="335"/>
  <c r="J34" i="335" s="1"/>
  <c r="I33" i="335"/>
  <c r="J33" i="335" s="1"/>
  <c r="I32" i="335"/>
  <c r="J32" i="335" s="1"/>
  <c r="I31" i="335"/>
  <c r="J31" i="335" s="1"/>
  <c r="K30" i="335"/>
  <c r="J30" i="335"/>
  <c r="I30" i="335"/>
  <c r="H30" i="335"/>
  <c r="J29" i="335"/>
  <c r="I29" i="335"/>
  <c r="J28" i="335"/>
  <c r="I28" i="335"/>
  <c r="K27" i="335"/>
  <c r="H27" i="335"/>
  <c r="G27" i="335"/>
  <c r="I27" i="335" s="1"/>
  <c r="J27" i="335" s="1"/>
  <c r="F27" i="335"/>
  <c r="E27" i="335"/>
  <c r="D27" i="335"/>
  <c r="C27" i="335"/>
  <c r="J26" i="335"/>
  <c r="I26" i="335"/>
  <c r="J25" i="335"/>
  <c r="I25" i="335"/>
  <c r="J24" i="335"/>
  <c r="I24" i="335"/>
  <c r="J23" i="335"/>
  <c r="I23" i="335"/>
  <c r="J22" i="335"/>
  <c r="I22" i="335"/>
  <c r="J21" i="335"/>
  <c r="I21" i="335"/>
  <c r="J20" i="335"/>
  <c r="I20" i="335"/>
  <c r="J19" i="335"/>
  <c r="I19" i="335"/>
  <c r="K18" i="335"/>
  <c r="J18" i="335"/>
  <c r="I18" i="335"/>
  <c r="H18" i="335"/>
  <c r="K17" i="335"/>
  <c r="J17" i="335"/>
  <c r="I17" i="335"/>
  <c r="H17" i="335"/>
  <c r="G17" i="335"/>
  <c r="F17" i="335"/>
  <c r="E17" i="335"/>
  <c r="D17" i="335"/>
  <c r="C17" i="335"/>
  <c r="J16" i="335"/>
  <c r="I16" i="335"/>
  <c r="J15" i="335"/>
  <c r="I15" i="335"/>
  <c r="J14" i="335"/>
  <c r="I14" i="335"/>
  <c r="K13" i="335"/>
  <c r="J13" i="335"/>
  <c r="I13" i="335"/>
  <c r="H13" i="335"/>
  <c r="G13" i="335"/>
  <c r="F13" i="335"/>
  <c r="E13" i="335"/>
  <c r="D13" i="335"/>
  <c r="C13" i="335"/>
  <c r="J12" i="335"/>
  <c r="I12" i="335"/>
  <c r="J11" i="335"/>
  <c r="I11" i="335"/>
  <c r="J10" i="335"/>
  <c r="I10" i="335"/>
  <c r="K9" i="335"/>
  <c r="I9" i="335"/>
  <c r="J9" i="335" s="1"/>
  <c r="H9" i="335"/>
  <c r="K8" i="335"/>
  <c r="H8" i="335"/>
  <c r="G8" i="335"/>
  <c r="I8" i="335" s="1"/>
  <c r="J8" i="335" s="1"/>
  <c r="F8" i="335"/>
  <c r="E8" i="335"/>
  <c r="D8" i="335"/>
  <c r="C8" i="335"/>
  <c r="K7" i="335"/>
  <c r="H7" i="335"/>
  <c r="E7" i="335"/>
  <c r="D7" i="335"/>
  <c r="C7" i="335"/>
  <c r="K3" i="335"/>
  <c r="J3" i="335"/>
  <c r="I3" i="335"/>
  <c r="H3" i="335"/>
  <c r="G3" i="335"/>
  <c r="F3" i="335"/>
  <c r="E3" i="335"/>
  <c r="D3" i="335"/>
  <c r="C3" i="335"/>
  <c r="D2" i="335"/>
  <c r="C2" i="335"/>
  <c r="B2" i="335"/>
  <c r="A2" i="335"/>
  <c r="A1" i="335"/>
  <c r="K166" i="333"/>
  <c r="H166" i="333"/>
  <c r="E166" i="333"/>
  <c r="D166" i="333"/>
  <c r="C166" i="333"/>
  <c r="J165" i="333"/>
  <c r="J164" i="333"/>
  <c r="I164" i="333"/>
  <c r="K163" i="333"/>
  <c r="J163" i="333"/>
  <c r="I163" i="333"/>
  <c r="H163" i="333"/>
  <c r="G163" i="333"/>
  <c r="F163" i="333"/>
  <c r="E163" i="333"/>
  <c r="D163" i="333"/>
  <c r="C163" i="333"/>
  <c r="J161" i="333"/>
  <c r="I161" i="333"/>
  <c r="K160" i="333"/>
  <c r="J160" i="333"/>
  <c r="I160" i="333"/>
  <c r="H160" i="333"/>
  <c r="G160" i="333"/>
  <c r="F160" i="333"/>
  <c r="E160" i="333"/>
  <c r="D160" i="333"/>
  <c r="C160" i="333"/>
  <c r="K158" i="333"/>
  <c r="I158" i="333"/>
  <c r="J158" i="333" s="1"/>
  <c r="H158" i="333"/>
  <c r="K157" i="333"/>
  <c r="H157" i="333"/>
  <c r="G157" i="333"/>
  <c r="I157" i="333" s="1"/>
  <c r="J157" i="333" s="1"/>
  <c r="F157" i="333"/>
  <c r="E157" i="333"/>
  <c r="D157" i="333"/>
  <c r="C157" i="333"/>
  <c r="K155" i="333"/>
  <c r="J155" i="333"/>
  <c r="I155" i="333"/>
  <c r="H155" i="333"/>
  <c r="K154" i="333"/>
  <c r="H154" i="333"/>
  <c r="G154" i="333"/>
  <c r="I154" i="333" s="1"/>
  <c r="J154" i="333" s="1"/>
  <c r="F154" i="333"/>
  <c r="E154" i="333"/>
  <c r="D154" i="333"/>
  <c r="C154" i="333"/>
  <c r="J153" i="333"/>
  <c r="K152" i="333"/>
  <c r="I152" i="333"/>
  <c r="J152" i="333" s="1"/>
  <c r="H152" i="333"/>
  <c r="K151" i="333"/>
  <c r="H151" i="333"/>
  <c r="G151" i="333"/>
  <c r="I151" i="333" s="1"/>
  <c r="J151" i="333" s="1"/>
  <c r="F151" i="333"/>
  <c r="E151" i="333"/>
  <c r="D151" i="333"/>
  <c r="C151" i="333"/>
  <c r="K149" i="333"/>
  <c r="I149" i="333"/>
  <c r="J149" i="333" s="1"/>
  <c r="H149" i="333"/>
  <c r="K148" i="333"/>
  <c r="H148" i="333"/>
  <c r="G148" i="333"/>
  <c r="I148" i="333" s="1"/>
  <c r="J148" i="333" s="1"/>
  <c r="F148" i="333"/>
  <c r="E148" i="333"/>
  <c r="D148" i="333"/>
  <c r="C148" i="333"/>
  <c r="J146" i="333"/>
  <c r="I146" i="333"/>
  <c r="K145" i="333"/>
  <c r="J145" i="333"/>
  <c r="I145" i="333"/>
  <c r="H145" i="333"/>
  <c r="K144" i="333"/>
  <c r="I144" i="333"/>
  <c r="J144" i="333" s="1"/>
  <c r="H144" i="333"/>
  <c r="J143" i="333"/>
  <c r="I143" i="333"/>
  <c r="J142" i="333"/>
  <c r="I142" i="333"/>
  <c r="J141" i="333"/>
  <c r="I141" i="333"/>
  <c r="K140" i="333"/>
  <c r="H140" i="333"/>
  <c r="G140" i="333"/>
  <c r="I140" i="333" s="1"/>
  <c r="J140" i="333" s="1"/>
  <c r="F140" i="333"/>
  <c r="E140" i="333"/>
  <c r="D140" i="333"/>
  <c r="C140" i="333"/>
  <c r="J139" i="333"/>
  <c r="I139" i="333"/>
  <c r="K138" i="333"/>
  <c r="H138" i="333"/>
  <c r="F138" i="333"/>
  <c r="E138" i="333"/>
  <c r="D138" i="333"/>
  <c r="C138" i="333"/>
  <c r="J137" i="333"/>
  <c r="J136" i="333"/>
  <c r="I136" i="333"/>
  <c r="K135" i="333"/>
  <c r="J135" i="333"/>
  <c r="I135" i="333"/>
  <c r="H135" i="333"/>
  <c r="G135" i="333"/>
  <c r="F135" i="333"/>
  <c r="E135" i="333"/>
  <c r="D135" i="333"/>
  <c r="C135" i="333"/>
  <c r="J134" i="333"/>
  <c r="J133" i="333"/>
  <c r="I133" i="333"/>
  <c r="J132" i="333"/>
  <c r="I132" i="333"/>
  <c r="I131" i="333"/>
  <c r="J131" i="333" s="1"/>
  <c r="K130" i="333"/>
  <c r="I130" i="333"/>
  <c r="J130" i="333" s="1"/>
  <c r="H130" i="333"/>
  <c r="G130" i="333"/>
  <c r="F130" i="333"/>
  <c r="E130" i="333"/>
  <c r="D130" i="333"/>
  <c r="C130" i="333"/>
  <c r="K129" i="333"/>
  <c r="J129" i="333"/>
  <c r="I129" i="333"/>
  <c r="H129" i="333"/>
  <c r="J128" i="333"/>
  <c r="I128" i="333"/>
  <c r="J127" i="333"/>
  <c r="I127" i="333"/>
  <c r="J126" i="333"/>
  <c r="I126" i="333"/>
  <c r="J125" i="333"/>
  <c r="I125" i="333"/>
  <c r="J124" i="333"/>
  <c r="I124" i="333"/>
  <c r="J123" i="333"/>
  <c r="I123" i="333"/>
  <c r="K122" i="333"/>
  <c r="I122" i="333"/>
  <c r="J122" i="333" s="1"/>
  <c r="H122" i="333"/>
  <c r="J121" i="333"/>
  <c r="I121" i="333"/>
  <c r="J120" i="333"/>
  <c r="I120" i="333"/>
  <c r="K119" i="333"/>
  <c r="I119" i="333"/>
  <c r="J119" i="333" s="1"/>
  <c r="H119" i="333"/>
  <c r="K118" i="333"/>
  <c r="H118" i="333"/>
  <c r="G118" i="333"/>
  <c r="G117" i="333" s="1"/>
  <c r="I117" i="333" s="1"/>
  <c r="J117" i="333" s="1"/>
  <c r="F118" i="333"/>
  <c r="F117" i="333" s="1"/>
  <c r="E118" i="333"/>
  <c r="D118" i="333"/>
  <c r="C118" i="333"/>
  <c r="K117" i="333"/>
  <c r="H117" i="333"/>
  <c r="E117" i="333"/>
  <c r="D117" i="333"/>
  <c r="C117" i="333"/>
  <c r="J116" i="333"/>
  <c r="I116" i="333"/>
  <c r="J115" i="333"/>
  <c r="I115" i="333"/>
  <c r="K114" i="333"/>
  <c r="J114" i="333"/>
  <c r="I114" i="333"/>
  <c r="H114" i="333"/>
  <c r="G114" i="333"/>
  <c r="F114" i="333"/>
  <c r="E114" i="333"/>
  <c r="D114" i="333"/>
  <c r="C114" i="333"/>
  <c r="J113" i="333"/>
  <c r="I113" i="333"/>
  <c r="J112" i="333"/>
  <c r="I112" i="333"/>
  <c r="K111" i="333"/>
  <c r="J111" i="333"/>
  <c r="I111" i="333"/>
  <c r="H111" i="333"/>
  <c r="G111" i="333"/>
  <c r="F111" i="333"/>
  <c r="E111" i="333"/>
  <c r="D111" i="333"/>
  <c r="C111" i="333"/>
  <c r="K110" i="333"/>
  <c r="J110" i="333"/>
  <c r="I110" i="333"/>
  <c r="H110" i="333"/>
  <c r="G110" i="333"/>
  <c r="F110" i="333"/>
  <c r="E110" i="333"/>
  <c r="D110" i="333"/>
  <c r="C110" i="333"/>
  <c r="J109" i="333"/>
  <c r="I109" i="333"/>
  <c r="J108" i="333"/>
  <c r="I108" i="333"/>
  <c r="J107" i="333"/>
  <c r="I107" i="333"/>
  <c r="J106" i="333"/>
  <c r="I106" i="333"/>
  <c r="J105" i="333"/>
  <c r="I105" i="333"/>
  <c r="J104" i="333"/>
  <c r="I104" i="333"/>
  <c r="K103" i="333"/>
  <c r="J103" i="333"/>
  <c r="I103" i="333"/>
  <c r="H103" i="333"/>
  <c r="G103" i="333"/>
  <c r="F103" i="333"/>
  <c r="E103" i="333"/>
  <c r="D103" i="333"/>
  <c r="C103" i="333"/>
  <c r="K102" i="333"/>
  <c r="J102" i="333"/>
  <c r="I102" i="333"/>
  <c r="H102" i="333"/>
  <c r="K101" i="333"/>
  <c r="I101" i="333"/>
  <c r="J101" i="333" s="1"/>
  <c r="H101" i="333"/>
  <c r="K100" i="333"/>
  <c r="J100" i="333"/>
  <c r="I100" i="333"/>
  <c r="H100" i="333"/>
  <c r="K99" i="333"/>
  <c r="H99" i="333"/>
  <c r="G99" i="333"/>
  <c r="I99" i="333" s="1"/>
  <c r="J99" i="333" s="1"/>
  <c r="F99" i="333"/>
  <c r="E99" i="333"/>
  <c r="D99" i="333"/>
  <c r="C99" i="333"/>
  <c r="J98" i="333"/>
  <c r="I98" i="333"/>
  <c r="J97" i="333"/>
  <c r="I97" i="333"/>
  <c r="I96" i="333"/>
  <c r="J96" i="333" s="1"/>
  <c r="J95" i="333"/>
  <c r="I95" i="333"/>
  <c r="J94" i="333"/>
  <c r="I94" i="333"/>
  <c r="I93" i="333"/>
  <c r="J93" i="333" s="1"/>
  <c r="K92" i="333"/>
  <c r="J92" i="333"/>
  <c r="I92" i="333"/>
  <c r="H92" i="333"/>
  <c r="J91" i="333"/>
  <c r="I91" i="333"/>
  <c r="I90" i="333"/>
  <c r="J90" i="333" s="1"/>
  <c r="K89" i="333"/>
  <c r="J89" i="333"/>
  <c r="I89" i="333"/>
  <c r="H89" i="333"/>
  <c r="J88" i="333"/>
  <c r="I88" i="333"/>
  <c r="I87" i="333"/>
  <c r="J87" i="333" s="1"/>
  <c r="K86" i="333"/>
  <c r="I86" i="333"/>
  <c r="J86" i="333" s="1"/>
  <c r="H86" i="333"/>
  <c r="I85" i="333"/>
  <c r="J85" i="333" s="1"/>
  <c r="J84" i="333"/>
  <c r="I84" i="333"/>
  <c r="J83" i="333"/>
  <c r="I83" i="333"/>
  <c r="J82" i="333"/>
  <c r="I82" i="333"/>
  <c r="K81" i="333"/>
  <c r="I81" i="333"/>
  <c r="J81" i="333" s="1"/>
  <c r="H81" i="333"/>
  <c r="K80" i="333"/>
  <c r="I80" i="333"/>
  <c r="J80" i="333" s="1"/>
  <c r="H80" i="333"/>
  <c r="I79" i="333"/>
  <c r="J79" i="333" s="1"/>
  <c r="I78" i="333"/>
  <c r="J78" i="333" s="1"/>
  <c r="K77" i="333"/>
  <c r="J77" i="333"/>
  <c r="I77" i="333"/>
  <c r="H77" i="333"/>
  <c r="K76" i="333"/>
  <c r="H76" i="333"/>
  <c r="G76" i="333"/>
  <c r="F76" i="333"/>
  <c r="F75" i="333" s="1"/>
  <c r="E76" i="333"/>
  <c r="D76" i="333"/>
  <c r="C76" i="333"/>
  <c r="K75" i="333"/>
  <c r="H75" i="333"/>
  <c r="E75" i="333"/>
  <c r="D75" i="333"/>
  <c r="C75" i="333"/>
  <c r="J74" i="333"/>
  <c r="J73" i="333"/>
  <c r="I73" i="333"/>
  <c r="J72" i="333"/>
  <c r="I72" i="333"/>
  <c r="J71" i="333"/>
  <c r="I71" i="333"/>
  <c r="J70" i="333"/>
  <c r="I70" i="333"/>
  <c r="K69" i="333"/>
  <c r="J69" i="333"/>
  <c r="I69" i="333"/>
  <c r="H69" i="333"/>
  <c r="G69" i="333"/>
  <c r="F69" i="333"/>
  <c r="E69" i="333"/>
  <c r="D69" i="333"/>
  <c r="C69" i="333"/>
  <c r="J68" i="333"/>
  <c r="I68" i="333"/>
  <c r="J67" i="333"/>
  <c r="I67" i="333"/>
  <c r="J66" i="333"/>
  <c r="I66" i="333"/>
  <c r="J65" i="333"/>
  <c r="I65" i="333"/>
  <c r="J64" i="333"/>
  <c r="I64" i="333"/>
  <c r="K63" i="333"/>
  <c r="J63" i="333"/>
  <c r="I63" i="333"/>
  <c r="H63" i="333"/>
  <c r="G63" i="333"/>
  <c r="F63" i="333"/>
  <c r="E63" i="333"/>
  <c r="D63" i="333"/>
  <c r="C63" i="333"/>
  <c r="J62" i="333"/>
  <c r="I62" i="333"/>
  <c r="J61" i="333"/>
  <c r="I61" i="333"/>
  <c r="J60" i="333"/>
  <c r="I60" i="333"/>
  <c r="J59" i="333"/>
  <c r="I59" i="333"/>
  <c r="J58" i="333"/>
  <c r="I58" i="333"/>
  <c r="J57" i="333"/>
  <c r="I57" i="333"/>
  <c r="J56" i="333"/>
  <c r="I56" i="333"/>
  <c r="J55" i="333"/>
  <c r="I55" i="333"/>
  <c r="I54" i="333"/>
  <c r="J54" i="333" s="1"/>
  <c r="K53" i="333"/>
  <c r="H53" i="333"/>
  <c r="G53" i="333"/>
  <c r="I53" i="333" s="1"/>
  <c r="J53" i="333" s="1"/>
  <c r="F53" i="333"/>
  <c r="E53" i="333"/>
  <c r="D53" i="333"/>
  <c r="C53" i="333"/>
  <c r="J52" i="333"/>
  <c r="I52" i="333"/>
  <c r="J51" i="333"/>
  <c r="I51" i="333"/>
  <c r="J50" i="333"/>
  <c r="I50" i="333"/>
  <c r="J49" i="333"/>
  <c r="I49" i="333"/>
  <c r="J48" i="333"/>
  <c r="I48" i="333"/>
  <c r="J47" i="333"/>
  <c r="I47" i="333"/>
  <c r="I46" i="333"/>
  <c r="J46" i="333" s="1"/>
  <c r="K45" i="333"/>
  <c r="H45" i="333"/>
  <c r="G45" i="333"/>
  <c r="I45" i="333" s="1"/>
  <c r="J45" i="333" s="1"/>
  <c r="F45" i="333"/>
  <c r="E45" i="333"/>
  <c r="D45" i="333"/>
  <c r="C45" i="333"/>
  <c r="J44" i="333"/>
  <c r="I44" i="333"/>
  <c r="J43" i="333"/>
  <c r="I43" i="333"/>
  <c r="J42" i="333"/>
  <c r="I42" i="333"/>
  <c r="J41" i="333"/>
  <c r="I41" i="333"/>
  <c r="I40" i="333"/>
  <c r="J40" i="333" s="1"/>
  <c r="J39" i="333"/>
  <c r="I39" i="333"/>
  <c r="K38" i="333"/>
  <c r="H38" i="333"/>
  <c r="G38" i="333"/>
  <c r="I38" i="333" s="1"/>
  <c r="J38" i="333" s="1"/>
  <c r="F38" i="333"/>
  <c r="E38" i="333"/>
  <c r="D38" i="333"/>
  <c r="C38" i="333"/>
  <c r="J37" i="333"/>
  <c r="I37" i="333"/>
  <c r="J36" i="333"/>
  <c r="I36" i="333"/>
  <c r="J35" i="333"/>
  <c r="I35" i="333"/>
  <c r="J34" i="333"/>
  <c r="I34" i="333"/>
  <c r="J33" i="333"/>
  <c r="I33" i="333"/>
  <c r="J32" i="333"/>
  <c r="I32" i="333"/>
  <c r="J31" i="333"/>
  <c r="I31" i="333"/>
  <c r="K30" i="333"/>
  <c r="J30" i="333"/>
  <c r="I30" i="333"/>
  <c r="H30" i="333"/>
  <c r="J29" i="333"/>
  <c r="I29" i="333"/>
  <c r="J28" i="333"/>
  <c r="I28" i="333"/>
  <c r="K27" i="333"/>
  <c r="H27" i="333"/>
  <c r="G27" i="333"/>
  <c r="I27" i="333" s="1"/>
  <c r="J27" i="333" s="1"/>
  <c r="F27" i="333"/>
  <c r="E27" i="333"/>
  <c r="D27" i="333"/>
  <c r="C27" i="333"/>
  <c r="J26" i="333"/>
  <c r="I26" i="333"/>
  <c r="I25" i="333"/>
  <c r="J25" i="333" s="1"/>
  <c r="I24" i="333"/>
  <c r="J24" i="333" s="1"/>
  <c r="J23" i="333"/>
  <c r="I23" i="333"/>
  <c r="K22" i="333"/>
  <c r="I22" i="333"/>
  <c r="J22" i="333" s="1"/>
  <c r="H22" i="333"/>
  <c r="K21" i="333"/>
  <c r="J21" i="333"/>
  <c r="I21" i="333"/>
  <c r="H21" i="333"/>
  <c r="K20" i="333"/>
  <c r="I20" i="333"/>
  <c r="J20" i="333" s="1"/>
  <c r="H20" i="333"/>
  <c r="K19" i="333"/>
  <c r="J19" i="333"/>
  <c r="I19" i="333"/>
  <c r="H19" i="333"/>
  <c r="J18" i="333"/>
  <c r="I18" i="333"/>
  <c r="K17" i="333"/>
  <c r="H17" i="333"/>
  <c r="G17" i="333"/>
  <c r="F17" i="333"/>
  <c r="E17" i="333"/>
  <c r="D17" i="333"/>
  <c r="C17" i="333"/>
  <c r="J16" i="333"/>
  <c r="I16" i="333"/>
  <c r="J15" i="333"/>
  <c r="I15" i="333"/>
  <c r="J14" i="333"/>
  <c r="I14" i="333"/>
  <c r="K13" i="333"/>
  <c r="J13" i="333"/>
  <c r="I13" i="333"/>
  <c r="H13" i="333"/>
  <c r="G13" i="333"/>
  <c r="F13" i="333"/>
  <c r="E13" i="333"/>
  <c r="D13" i="333"/>
  <c r="C13" i="333"/>
  <c r="K12" i="333"/>
  <c r="J12" i="333"/>
  <c r="I12" i="333"/>
  <c r="H12" i="333"/>
  <c r="J11" i="333"/>
  <c r="I11" i="333"/>
  <c r="J10" i="333"/>
  <c r="I10" i="333"/>
  <c r="K9" i="333"/>
  <c r="J9" i="333"/>
  <c r="I9" i="333"/>
  <c r="H9" i="333"/>
  <c r="K8" i="333"/>
  <c r="H8" i="333"/>
  <c r="G8" i="333"/>
  <c r="I8" i="333" s="1"/>
  <c r="J8" i="333" s="1"/>
  <c r="F8" i="333"/>
  <c r="E8" i="333"/>
  <c r="D8" i="333"/>
  <c r="C8" i="333"/>
  <c r="K7" i="333"/>
  <c r="H7" i="333"/>
  <c r="E7" i="333"/>
  <c r="D7" i="333"/>
  <c r="C7" i="333"/>
  <c r="K3" i="333"/>
  <c r="J3" i="333"/>
  <c r="I3" i="333"/>
  <c r="H3" i="333"/>
  <c r="G3" i="333"/>
  <c r="F3" i="333"/>
  <c r="E3" i="333"/>
  <c r="D3" i="333"/>
  <c r="C3" i="333"/>
  <c r="D2" i="333"/>
  <c r="C2" i="333"/>
  <c r="B2" i="333"/>
  <c r="A2" i="333"/>
  <c r="A1" i="333"/>
  <c r="K166" i="325"/>
  <c r="H166" i="325"/>
  <c r="E166" i="325"/>
  <c r="D166" i="325"/>
  <c r="C166" i="325"/>
  <c r="J165" i="325"/>
  <c r="J164" i="325"/>
  <c r="I164" i="325"/>
  <c r="K163" i="325"/>
  <c r="J163" i="325"/>
  <c r="I163" i="325"/>
  <c r="H163" i="325"/>
  <c r="G163" i="325"/>
  <c r="F163" i="325"/>
  <c r="E163" i="325"/>
  <c r="D163" i="325"/>
  <c r="C163" i="325"/>
  <c r="J161" i="325"/>
  <c r="I161" i="325"/>
  <c r="K160" i="325"/>
  <c r="J160" i="325"/>
  <c r="I160" i="325"/>
  <c r="H160" i="325"/>
  <c r="G160" i="325"/>
  <c r="F160" i="325"/>
  <c r="E160" i="325"/>
  <c r="D160" i="325"/>
  <c r="C160" i="325"/>
  <c r="J158" i="325"/>
  <c r="I158" i="325"/>
  <c r="K157" i="325"/>
  <c r="J157" i="325"/>
  <c r="I157" i="325"/>
  <c r="H157" i="325"/>
  <c r="G157" i="325"/>
  <c r="F157" i="325"/>
  <c r="E157" i="325"/>
  <c r="D157" i="325"/>
  <c r="C157" i="325"/>
  <c r="I155" i="325"/>
  <c r="J155" i="325" s="1"/>
  <c r="K154" i="325"/>
  <c r="I154" i="325"/>
  <c r="J154" i="325" s="1"/>
  <c r="H154" i="325"/>
  <c r="G154" i="325"/>
  <c r="F154" i="325"/>
  <c r="E154" i="325"/>
  <c r="D154" i="325"/>
  <c r="C154" i="325"/>
  <c r="J153" i="325"/>
  <c r="J152" i="325"/>
  <c r="I152" i="325"/>
  <c r="K151" i="325"/>
  <c r="J151" i="325"/>
  <c r="I151" i="325"/>
  <c r="H151" i="325"/>
  <c r="G151" i="325"/>
  <c r="F151" i="325"/>
  <c r="E151" i="325"/>
  <c r="D151" i="325"/>
  <c r="C151" i="325"/>
  <c r="J149" i="325"/>
  <c r="I149" i="325"/>
  <c r="K148" i="325"/>
  <c r="J148" i="325"/>
  <c r="I148" i="325"/>
  <c r="H148" i="325"/>
  <c r="G148" i="325"/>
  <c r="F148" i="325"/>
  <c r="E148" i="325"/>
  <c r="D148" i="325"/>
  <c r="C148" i="325"/>
  <c r="J146" i="325"/>
  <c r="I146" i="325"/>
  <c r="J145" i="325"/>
  <c r="I145" i="325"/>
  <c r="J144" i="325"/>
  <c r="I144" i="325"/>
  <c r="J143" i="325"/>
  <c r="I143" i="325"/>
  <c r="J142" i="325"/>
  <c r="I142" i="325"/>
  <c r="J141" i="325"/>
  <c r="I141" i="325"/>
  <c r="K140" i="325"/>
  <c r="J140" i="325"/>
  <c r="I140" i="325"/>
  <c r="H140" i="325"/>
  <c r="G140" i="325"/>
  <c r="F140" i="325"/>
  <c r="E140" i="325"/>
  <c r="D140" i="325"/>
  <c r="C140" i="325"/>
  <c r="J139" i="325"/>
  <c r="I139" i="325"/>
  <c r="K138" i="325"/>
  <c r="J138" i="325"/>
  <c r="I138" i="325"/>
  <c r="H138" i="325"/>
  <c r="G138" i="325"/>
  <c r="F138" i="325"/>
  <c r="E138" i="325"/>
  <c r="D138" i="325"/>
  <c r="C138" i="325"/>
  <c r="J137" i="325"/>
  <c r="J136" i="325"/>
  <c r="I136" i="325"/>
  <c r="K135" i="325"/>
  <c r="J135" i="325"/>
  <c r="I135" i="325"/>
  <c r="H135" i="325"/>
  <c r="G135" i="325"/>
  <c r="F135" i="325"/>
  <c r="E135" i="325"/>
  <c r="D135" i="325"/>
  <c r="C135" i="325"/>
  <c r="J134" i="325"/>
  <c r="J133" i="325"/>
  <c r="I133" i="325"/>
  <c r="J132" i="325"/>
  <c r="I132" i="325"/>
  <c r="J131" i="325"/>
  <c r="I131" i="325"/>
  <c r="K130" i="325"/>
  <c r="J130" i="325"/>
  <c r="I130" i="325"/>
  <c r="H130" i="325"/>
  <c r="G130" i="325"/>
  <c r="F130" i="325"/>
  <c r="E130" i="325"/>
  <c r="D130" i="325"/>
  <c r="C130" i="325"/>
  <c r="J129" i="325"/>
  <c r="I129" i="325"/>
  <c r="J128" i="325"/>
  <c r="I128" i="325"/>
  <c r="J127" i="325"/>
  <c r="I127" i="325"/>
  <c r="J126" i="325"/>
  <c r="I126" i="325"/>
  <c r="J125" i="325"/>
  <c r="I125" i="325"/>
  <c r="J124" i="325"/>
  <c r="I124" i="325"/>
  <c r="J123" i="325"/>
  <c r="I123" i="325"/>
  <c r="J122" i="325"/>
  <c r="I122" i="325"/>
  <c r="J121" i="325"/>
  <c r="I121" i="325"/>
  <c r="J120" i="325"/>
  <c r="I120" i="325"/>
  <c r="I119" i="325"/>
  <c r="J119" i="325" s="1"/>
  <c r="K118" i="325"/>
  <c r="H118" i="325"/>
  <c r="G118" i="325"/>
  <c r="I118" i="325" s="1"/>
  <c r="J118" i="325" s="1"/>
  <c r="F118" i="325"/>
  <c r="F117" i="325" s="1"/>
  <c r="E118" i="325"/>
  <c r="D118" i="325"/>
  <c r="C118" i="325"/>
  <c r="K117" i="325"/>
  <c r="H117" i="325"/>
  <c r="G117" i="325"/>
  <c r="I117" i="325" s="1"/>
  <c r="J117" i="325" s="1"/>
  <c r="E117" i="325"/>
  <c r="D117" i="325"/>
  <c r="C117" i="325"/>
  <c r="J116" i="325"/>
  <c r="I116" i="325"/>
  <c r="J115" i="325"/>
  <c r="I115" i="325"/>
  <c r="K114" i="325"/>
  <c r="J114" i="325"/>
  <c r="I114" i="325"/>
  <c r="H114" i="325"/>
  <c r="G114" i="325"/>
  <c r="F114" i="325"/>
  <c r="E114" i="325"/>
  <c r="D114" i="325"/>
  <c r="C114" i="325"/>
  <c r="J113" i="325"/>
  <c r="I113" i="325"/>
  <c r="J112" i="325"/>
  <c r="I112" i="325"/>
  <c r="K111" i="325"/>
  <c r="J111" i="325"/>
  <c r="I111" i="325"/>
  <c r="H111" i="325"/>
  <c r="G111" i="325"/>
  <c r="F111" i="325"/>
  <c r="E111" i="325"/>
  <c r="D111" i="325"/>
  <c r="C111" i="325"/>
  <c r="K110" i="325"/>
  <c r="J110" i="325"/>
  <c r="I110" i="325"/>
  <c r="H110" i="325"/>
  <c r="G110" i="325"/>
  <c r="F110" i="325"/>
  <c r="E110" i="325"/>
  <c r="D110" i="325"/>
  <c r="C110" i="325"/>
  <c r="J109" i="325"/>
  <c r="I109" i="325"/>
  <c r="J108" i="325"/>
  <c r="I108" i="325"/>
  <c r="J107" i="325"/>
  <c r="I107" i="325"/>
  <c r="J106" i="325"/>
  <c r="I106" i="325"/>
  <c r="K105" i="325"/>
  <c r="J105" i="325"/>
  <c r="I105" i="325"/>
  <c r="H105" i="325"/>
  <c r="J104" i="325"/>
  <c r="I104" i="325"/>
  <c r="K103" i="325"/>
  <c r="J103" i="325"/>
  <c r="I103" i="325"/>
  <c r="H103" i="325"/>
  <c r="G103" i="325"/>
  <c r="F103" i="325"/>
  <c r="E103" i="325"/>
  <c r="D103" i="325"/>
  <c r="C103" i="325"/>
  <c r="J102" i="325"/>
  <c r="I102" i="325"/>
  <c r="J101" i="325"/>
  <c r="I101" i="325"/>
  <c r="J100" i="325"/>
  <c r="I100" i="325"/>
  <c r="K99" i="325"/>
  <c r="J99" i="325"/>
  <c r="I99" i="325"/>
  <c r="H99" i="325"/>
  <c r="G99" i="325"/>
  <c r="F99" i="325"/>
  <c r="E99" i="325"/>
  <c r="D99" i="325"/>
  <c r="C99" i="325"/>
  <c r="J98" i="325"/>
  <c r="I98" i="325"/>
  <c r="J97" i="325"/>
  <c r="I97" i="325"/>
  <c r="J96" i="325"/>
  <c r="I96" i="325"/>
  <c r="J95" i="325"/>
  <c r="I95" i="325"/>
  <c r="J94" i="325"/>
  <c r="I94" i="325"/>
  <c r="K93" i="325"/>
  <c r="J93" i="325"/>
  <c r="I93" i="325"/>
  <c r="H93" i="325"/>
  <c r="J92" i="325"/>
  <c r="I92" i="325"/>
  <c r="J91" i="325"/>
  <c r="I91" i="325"/>
  <c r="K90" i="325"/>
  <c r="J90" i="325"/>
  <c r="I90" i="325"/>
  <c r="H90" i="325"/>
  <c r="J89" i="325"/>
  <c r="I89" i="325"/>
  <c r="K88" i="325"/>
  <c r="J88" i="325"/>
  <c r="I88" i="325"/>
  <c r="H88" i="325"/>
  <c r="J87" i="325"/>
  <c r="I87" i="325"/>
  <c r="K86" i="325"/>
  <c r="J86" i="325"/>
  <c r="I86" i="325"/>
  <c r="H86" i="325"/>
  <c r="J85" i="325"/>
  <c r="I85" i="325"/>
  <c r="J84" i="325"/>
  <c r="I84" i="325"/>
  <c r="J83" i="325"/>
  <c r="I83" i="325"/>
  <c r="J82" i="325"/>
  <c r="I82" i="325"/>
  <c r="J81" i="325"/>
  <c r="I81" i="325"/>
  <c r="K80" i="325"/>
  <c r="J80" i="325"/>
  <c r="I80" i="325"/>
  <c r="H80" i="325"/>
  <c r="J79" i="325"/>
  <c r="I79" i="325"/>
  <c r="J78" i="325"/>
  <c r="I78" i="325"/>
  <c r="K77" i="325"/>
  <c r="J77" i="325"/>
  <c r="I77" i="325"/>
  <c r="H77" i="325"/>
  <c r="K76" i="325"/>
  <c r="J76" i="325"/>
  <c r="I76" i="325"/>
  <c r="H76" i="325"/>
  <c r="G76" i="325"/>
  <c r="F76" i="325"/>
  <c r="E76" i="325"/>
  <c r="D76" i="325"/>
  <c r="C76" i="325"/>
  <c r="K75" i="325"/>
  <c r="J75" i="325"/>
  <c r="I75" i="325"/>
  <c r="H75" i="325"/>
  <c r="G75" i="325"/>
  <c r="F75" i="325"/>
  <c r="E75" i="325"/>
  <c r="D75" i="325"/>
  <c r="C75" i="325"/>
  <c r="J74" i="325"/>
  <c r="J73" i="325"/>
  <c r="I73" i="325"/>
  <c r="J72" i="325"/>
  <c r="I72" i="325"/>
  <c r="J71" i="325"/>
  <c r="I71" i="325"/>
  <c r="J70" i="325"/>
  <c r="I70" i="325"/>
  <c r="K69" i="325"/>
  <c r="J69" i="325"/>
  <c r="I69" i="325"/>
  <c r="H69" i="325"/>
  <c r="G69" i="325"/>
  <c r="F69" i="325"/>
  <c r="E69" i="325"/>
  <c r="D69" i="325"/>
  <c r="C69" i="325"/>
  <c r="J68" i="325"/>
  <c r="I68" i="325"/>
  <c r="J67" i="325"/>
  <c r="I67" i="325"/>
  <c r="J66" i="325"/>
  <c r="I66" i="325"/>
  <c r="J65" i="325"/>
  <c r="I65" i="325"/>
  <c r="J64" i="325"/>
  <c r="I64" i="325"/>
  <c r="K63" i="325"/>
  <c r="J63" i="325"/>
  <c r="I63" i="325"/>
  <c r="H63" i="325"/>
  <c r="G63" i="325"/>
  <c r="F63" i="325"/>
  <c r="E63" i="325"/>
  <c r="D63" i="325"/>
  <c r="C63" i="325"/>
  <c r="J62" i="325"/>
  <c r="I62" i="325"/>
  <c r="J61" i="325"/>
  <c r="I61" i="325"/>
  <c r="J60" i="325"/>
  <c r="I60" i="325"/>
  <c r="J59" i="325"/>
  <c r="I59" i="325"/>
  <c r="J58" i="325"/>
  <c r="I58" i="325"/>
  <c r="J57" i="325"/>
  <c r="I57" i="325"/>
  <c r="J56" i="325"/>
  <c r="I56" i="325"/>
  <c r="J55" i="325"/>
  <c r="I55" i="325"/>
  <c r="J54" i="325"/>
  <c r="I54" i="325"/>
  <c r="K53" i="325"/>
  <c r="J53" i="325"/>
  <c r="I53" i="325"/>
  <c r="H53" i="325"/>
  <c r="G53" i="325"/>
  <c r="F53" i="325"/>
  <c r="E53" i="325"/>
  <c r="D53" i="325"/>
  <c r="C53" i="325"/>
  <c r="J52" i="325"/>
  <c r="I52" i="325"/>
  <c r="J51" i="325"/>
  <c r="I51" i="325"/>
  <c r="J50" i="325"/>
  <c r="I50" i="325"/>
  <c r="J49" i="325"/>
  <c r="I49" i="325"/>
  <c r="J48" i="325"/>
  <c r="I48" i="325"/>
  <c r="J47" i="325"/>
  <c r="I47" i="325"/>
  <c r="K46" i="325"/>
  <c r="J46" i="325"/>
  <c r="I46" i="325"/>
  <c r="H46" i="325"/>
  <c r="K45" i="325"/>
  <c r="J45" i="325"/>
  <c r="I45" i="325"/>
  <c r="H45" i="325"/>
  <c r="G45" i="325"/>
  <c r="F45" i="325"/>
  <c r="E45" i="325"/>
  <c r="D45" i="325"/>
  <c r="C45" i="325"/>
  <c r="J44" i="325"/>
  <c r="I44" i="325"/>
  <c r="J43" i="325"/>
  <c r="I43" i="325"/>
  <c r="J42" i="325"/>
  <c r="I42" i="325"/>
  <c r="K41" i="325"/>
  <c r="J41" i="325"/>
  <c r="I41" i="325"/>
  <c r="H41" i="325"/>
  <c r="J40" i="325"/>
  <c r="I40" i="325"/>
  <c r="J39" i="325"/>
  <c r="I39" i="325"/>
  <c r="K38" i="325"/>
  <c r="J38" i="325"/>
  <c r="I38" i="325"/>
  <c r="H38" i="325"/>
  <c r="G38" i="325"/>
  <c r="F38" i="325"/>
  <c r="E38" i="325"/>
  <c r="D38" i="325"/>
  <c r="C38" i="325"/>
  <c r="J37" i="325"/>
  <c r="I37" i="325"/>
  <c r="J36" i="325"/>
  <c r="I36" i="325"/>
  <c r="J35" i="325"/>
  <c r="I35" i="325"/>
  <c r="K34" i="325"/>
  <c r="J34" i="325"/>
  <c r="I34" i="325"/>
  <c r="H34" i="325"/>
  <c r="J33" i="325"/>
  <c r="I33" i="325"/>
  <c r="J32" i="325"/>
  <c r="I32" i="325"/>
  <c r="J31" i="325"/>
  <c r="I31" i="325"/>
  <c r="J30" i="325"/>
  <c r="I30" i="325"/>
  <c r="J29" i="325"/>
  <c r="I29" i="325"/>
  <c r="J28" i="325"/>
  <c r="I28" i="325"/>
  <c r="K27" i="325"/>
  <c r="J27" i="325"/>
  <c r="I27" i="325"/>
  <c r="H27" i="325"/>
  <c r="G27" i="325"/>
  <c r="F27" i="325"/>
  <c r="E27" i="325"/>
  <c r="D27" i="325"/>
  <c r="C27" i="325"/>
  <c r="J26" i="325"/>
  <c r="I26" i="325"/>
  <c r="I25" i="325"/>
  <c r="J25" i="325" s="1"/>
  <c r="J24" i="325"/>
  <c r="I24" i="325"/>
  <c r="J23" i="325"/>
  <c r="I23" i="325"/>
  <c r="I22" i="325"/>
  <c r="J22" i="325" s="1"/>
  <c r="J21" i="325"/>
  <c r="I21" i="325"/>
  <c r="J20" i="325"/>
  <c r="I20" i="325"/>
  <c r="I19" i="325"/>
  <c r="J19" i="325" s="1"/>
  <c r="K18" i="325"/>
  <c r="J18" i="325"/>
  <c r="I18" i="325"/>
  <c r="H18" i="325"/>
  <c r="K17" i="325"/>
  <c r="H17" i="325"/>
  <c r="G17" i="325"/>
  <c r="G7" i="325" s="1"/>
  <c r="F17" i="325"/>
  <c r="F7" i="325" s="1"/>
  <c r="E17" i="325"/>
  <c r="D17" i="325"/>
  <c r="C17" i="325"/>
  <c r="J16" i="325"/>
  <c r="I16" i="325"/>
  <c r="J15" i="325"/>
  <c r="I15" i="325"/>
  <c r="J14" i="325"/>
  <c r="I14" i="325"/>
  <c r="K13" i="325"/>
  <c r="J13" i="325"/>
  <c r="I13" i="325"/>
  <c r="H13" i="325"/>
  <c r="G13" i="325"/>
  <c r="F13" i="325"/>
  <c r="E13" i="325"/>
  <c r="D13" i="325"/>
  <c r="C13" i="325"/>
  <c r="J12" i="325"/>
  <c r="I12" i="325"/>
  <c r="J11" i="325"/>
  <c r="I11" i="325"/>
  <c r="J10" i="325"/>
  <c r="I10" i="325"/>
  <c r="K9" i="325"/>
  <c r="J9" i="325"/>
  <c r="I9" i="325"/>
  <c r="H9" i="325"/>
  <c r="K8" i="325"/>
  <c r="J8" i="325"/>
  <c r="I8" i="325"/>
  <c r="H8" i="325"/>
  <c r="G8" i="325"/>
  <c r="F8" i="325"/>
  <c r="E8" i="325"/>
  <c r="D8" i="325"/>
  <c r="C8" i="325"/>
  <c r="K7" i="325"/>
  <c r="H7" i="325"/>
  <c r="E7" i="325"/>
  <c r="D7" i="325"/>
  <c r="C7" i="325"/>
  <c r="K3" i="325"/>
  <c r="J3" i="325"/>
  <c r="I3" i="325"/>
  <c r="H3" i="325"/>
  <c r="G3" i="325"/>
  <c r="F3" i="325"/>
  <c r="E3" i="325"/>
  <c r="D3" i="325"/>
  <c r="C3" i="325"/>
  <c r="D2" i="325"/>
  <c r="C2" i="325"/>
  <c r="B2" i="325"/>
  <c r="A2" i="325"/>
  <c r="A1" i="325"/>
  <c r="K171" i="326"/>
  <c r="H171" i="326"/>
  <c r="E171" i="326"/>
  <c r="D171" i="326"/>
  <c r="C171" i="326"/>
  <c r="A168" i="326"/>
  <c r="K166" i="326"/>
  <c r="H166" i="326"/>
  <c r="E166" i="326"/>
  <c r="D166" i="326"/>
  <c r="C166" i="326"/>
  <c r="J165" i="326"/>
  <c r="J164" i="326"/>
  <c r="I164" i="326"/>
  <c r="K163" i="326"/>
  <c r="J163" i="326"/>
  <c r="I163" i="326"/>
  <c r="H163" i="326"/>
  <c r="G163" i="326"/>
  <c r="F163" i="326"/>
  <c r="E163" i="326"/>
  <c r="D163" i="326"/>
  <c r="C163" i="326"/>
  <c r="J161" i="326"/>
  <c r="I161" i="326"/>
  <c r="K160" i="326"/>
  <c r="J160" i="326"/>
  <c r="I160" i="326"/>
  <c r="H160" i="326"/>
  <c r="G160" i="326"/>
  <c r="F160" i="326"/>
  <c r="E160" i="326"/>
  <c r="D160" i="326"/>
  <c r="C160" i="326"/>
  <c r="J158" i="326"/>
  <c r="I158" i="326"/>
  <c r="K157" i="326"/>
  <c r="J157" i="326"/>
  <c r="I157" i="326"/>
  <c r="H157" i="326"/>
  <c r="G157" i="326"/>
  <c r="F157" i="326"/>
  <c r="E157" i="326"/>
  <c r="D157" i="326"/>
  <c r="C157" i="326"/>
  <c r="K155" i="326"/>
  <c r="J155" i="326"/>
  <c r="I155" i="326"/>
  <c r="H155" i="326"/>
  <c r="K154" i="326"/>
  <c r="J154" i="326"/>
  <c r="I154" i="326"/>
  <c r="H154" i="326"/>
  <c r="G154" i="326"/>
  <c r="F154" i="326"/>
  <c r="E154" i="326"/>
  <c r="D154" i="326"/>
  <c r="C154" i="326"/>
  <c r="J153" i="326"/>
  <c r="K152" i="326"/>
  <c r="J152" i="326"/>
  <c r="I152" i="326"/>
  <c r="H152" i="326"/>
  <c r="K151" i="326"/>
  <c r="J151" i="326"/>
  <c r="I151" i="326"/>
  <c r="H151" i="326"/>
  <c r="G151" i="326"/>
  <c r="F151" i="326"/>
  <c r="E151" i="326"/>
  <c r="D151" i="326"/>
  <c r="C151" i="326"/>
  <c r="J149" i="326"/>
  <c r="I149" i="326"/>
  <c r="K148" i="326"/>
  <c r="J148" i="326"/>
  <c r="I148" i="326"/>
  <c r="H148" i="326"/>
  <c r="G148" i="326"/>
  <c r="F148" i="326"/>
  <c r="E148" i="326"/>
  <c r="D148" i="326"/>
  <c r="C148" i="326"/>
  <c r="J146" i="326"/>
  <c r="I146" i="326"/>
  <c r="J145" i="326"/>
  <c r="I145" i="326"/>
  <c r="J144" i="326"/>
  <c r="I144" i="326"/>
  <c r="J143" i="326"/>
  <c r="I143" i="326"/>
  <c r="J142" i="326"/>
  <c r="I142" i="326"/>
  <c r="J141" i="326"/>
  <c r="I141" i="326"/>
  <c r="K140" i="326"/>
  <c r="J140" i="326"/>
  <c r="I140" i="326"/>
  <c r="H140" i="326"/>
  <c r="G140" i="326"/>
  <c r="F140" i="326"/>
  <c r="E140" i="326"/>
  <c r="D140" i="326"/>
  <c r="C140" i="326"/>
  <c r="J139" i="326"/>
  <c r="I139" i="326"/>
  <c r="K138" i="326"/>
  <c r="J138" i="326"/>
  <c r="I138" i="326"/>
  <c r="H138" i="326"/>
  <c r="G138" i="326"/>
  <c r="F138" i="326"/>
  <c r="E138" i="326"/>
  <c r="D138" i="326"/>
  <c r="C138" i="326"/>
  <c r="J137" i="326"/>
  <c r="J136" i="326"/>
  <c r="I136" i="326"/>
  <c r="K135" i="326"/>
  <c r="J135" i="326"/>
  <c r="I135" i="326"/>
  <c r="H135" i="326"/>
  <c r="G135" i="326"/>
  <c r="F135" i="326"/>
  <c r="E135" i="326"/>
  <c r="D135" i="326"/>
  <c r="C135" i="326"/>
  <c r="J134" i="326"/>
  <c r="J133" i="326"/>
  <c r="I133" i="326"/>
  <c r="J132" i="326"/>
  <c r="I132" i="326"/>
  <c r="J131" i="326"/>
  <c r="I131" i="326"/>
  <c r="K130" i="326"/>
  <c r="J130" i="326"/>
  <c r="I130" i="326"/>
  <c r="H130" i="326"/>
  <c r="G130" i="326"/>
  <c r="F130" i="326"/>
  <c r="E130" i="326"/>
  <c r="D130" i="326"/>
  <c r="C130" i="326"/>
  <c r="J129" i="326"/>
  <c r="I129" i="326"/>
  <c r="J128" i="326"/>
  <c r="I128" i="326"/>
  <c r="J127" i="326"/>
  <c r="I127" i="326"/>
  <c r="J126" i="326"/>
  <c r="I126" i="326"/>
  <c r="J125" i="326"/>
  <c r="I125" i="326"/>
  <c r="J124" i="326"/>
  <c r="I124" i="326"/>
  <c r="J123" i="326"/>
  <c r="I123" i="326"/>
  <c r="J122" i="326"/>
  <c r="I122" i="326"/>
  <c r="J121" i="326"/>
  <c r="I121" i="326"/>
  <c r="J120" i="326"/>
  <c r="I120" i="326"/>
  <c r="J119" i="326"/>
  <c r="I119" i="326"/>
  <c r="K118" i="326"/>
  <c r="J118" i="326"/>
  <c r="I118" i="326"/>
  <c r="H118" i="326"/>
  <c r="G118" i="326"/>
  <c r="F118" i="326"/>
  <c r="E118" i="326"/>
  <c r="D118" i="326"/>
  <c r="C118" i="326"/>
  <c r="K117" i="326"/>
  <c r="J117" i="326"/>
  <c r="I117" i="326"/>
  <c r="H117" i="326"/>
  <c r="G117" i="326"/>
  <c r="F117" i="326"/>
  <c r="E117" i="326"/>
  <c r="D117" i="326"/>
  <c r="C117" i="326"/>
  <c r="J116" i="326"/>
  <c r="I116" i="326"/>
  <c r="J115" i="326"/>
  <c r="I115" i="326"/>
  <c r="K114" i="326"/>
  <c r="J114" i="326"/>
  <c r="I114" i="326"/>
  <c r="H114" i="326"/>
  <c r="G114" i="326"/>
  <c r="F114" i="326"/>
  <c r="E114" i="326"/>
  <c r="D114" i="326"/>
  <c r="C114" i="326"/>
  <c r="J113" i="326"/>
  <c r="I113" i="326"/>
  <c r="J112" i="326"/>
  <c r="I112" i="326"/>
  <c r="K111" i="326"/>
  <c r="J111" i="326"/>
  <c r="I111" i="326"/>
  <c r="H111" i="326"/>
  <c r="G111" i="326"/>
  <c r="F111" i="326"/>
  <c r="E111" i="326"/>
  <c r="D111" i="326"/>
  <c r="C111" i="326"/>
  <c r="K110" i="326"/>
  <c r="J110" i="326"/>
  <c r="I110" i="326"/>
  <c r="H110" i="326"/>
  <c r="G110" i="326"/>
  <c r="F110" i="326"/>
  <c r="E110" i="326"/>
  <c r="D110" i="326"/>
  <c r="C110" i="326"/>
  <c r="J109" i="326"/>
  <c r="I109" i="326"/>
  <c r="J108" i="326"/>
  <c r="I108" i="326"/>
  <c r="J107" i="326"/>
  <c r="I107" i="326"/>
  <c r="J106" i="326"/>
  <c r="I106" i="326"/>
  <c r="J105" i="326"/>
  <c r="I105" i="326"/>
  <c r="J104" i="326"/>
  <c r="I104" i="326"/>
  <c r="K103" i="326"/>
  <c r="J103" i="326"/>
  <c r="I103" i="326"/>
  <c r="H103" i="326"/>
  <c r="G103" i="326"/>
  <c r="F103" i="326"/>
  <c r="E103" i="326"/>
  <c r="D103" i="326"/>
  <c r="C103" i="326"/>
  <c r="J102" i="326"/>
  <c r="I102" i="326"/>
  <c r="J101" i="326"/>
  <c r="I101" i="326"/>
  <c r="J100" i="326"/>
  <c r="I100" i="326"/>
  <c r="K99" i="326"/>
  <c r="J99" i="326"/>
  <c r="I99" i="326"/>
  <c r="H99" i="326"/>
  <c r="G99" i="326"/>
  <c r="F99" i="326"/>
  <c r="E99" i="326"/>
  <c r="D99" i="326"/>
  <c r="C99" i="326"/>
  <c r="J98" i="326"/>
  <c r="I98" i="326"/>
  <c r="J97" i="326"/>
  <c r="I97" i="326"/>
  <c r="J96" i="326"/>
  <c r="I96" i="326"/>
  <c r="J95" i="326"/>
  <c r="I95" i="326"/>
  <c r="J94" i="326"/>
  <c r="I94" i="326"/>
  <c r="J93" i="326"/>
  <c r="I93" i="326"/>
  <c r="J92" i="326"/>
  <c r="I92" i="326"/>
  <c r="J91" i="326"/>
  <c r="I91" i="326"/>
  <c r="J90" i="326"/>
  <c r="I90" i="326"/>
  <c r="J89" i="326"/>
  <c r="I89" i="326"/>
  <c r="J88" i="326"/>
  <c r="I88" i="326"/>
  <c r="J87" i="326"/>
  <c r="I87" i="326"/>
  <c r="J86" i="326"/>
  <c r="I86" i="326"/>
  <c r="J85" i="326"/>
  <c r="I85" i="326"/>
  <c r="J84" i="326"/>
  <c r="I84" i="326"/>
  <c r="J83" i="326"/>
  <c r="I83" i="326"/>
  <c r="J82" i="326"/>
  <c r="I82" i="326"/>
  <c r="J81" i="326"/>
  <c r="I81" i="326"/>
  <c r="J80" i="326"/>
  <c r="I80" i="326"/>
  <c r="J79" i="326"/>
  <c r="I79" i="326"/>
  <c r="J78" i="326"/>
  <c r="I78" i="326"/>
  <c r="J77" i="326"/>
  <c r="I77" i="326"/>
  <c r="K76" i="326"/>
  <c r="J76" i="326"/>
  <c r="I76" i="326"/>
  <c r="H76" i="326"/>
  <c r="G76" i="326"/>
  <c r="F76" i="326"/>
  <c r="E76" i="326"/>
  <c r="D76" i="326"/>
  <c r="C76" i="326"/>
  <c r="K75" i="326"/>
  <c r="J75" i="326"/>
  <c r="I75" i="326"/>
  <c r="H75" i="326"/>
  <c r="G75" i="326"/>
  <c r="F75" i="326"/>
  <c r="E75" i="326"/>
  <c r="D75" i="326"/>
  <c r="C75" i="326"/>
  <c r="J74" i="326"/>
  <c r="J73" i="326"/>
  <c r="I73" i="326"/>
  <c r="J72" i="326"/>
  <c r="I72" i="326"/>
  <c r="J71" i="326"/>
  <c r="I71" i="326"/>
  <c r="J70" i="326"/>
  <c r="I70" i="326"/>
  <c r="K69" i="326"/>
  <c r="J69" i="326"/>
  <c r="I69" i="326"/>
  <c r="H69" i="326"/>
  <c r="G69" i="326"/>
  <c r="F69" i="326"/>
  <c r="E69" i="326"/>
  <c r="D69" i="326"/>
  <c r="C69" i="326"/>
  <c r="J68" i="326"/>
  <c r="I68" i="326"/>
  <c r="J67" i="326"/>
  <c r="I67" i="326"/>
  <c r="J66" i="326"/>
  <c r="I66" i="326"/>
  <c r="J65" i="326"/>
  <c r="I65" i="326"/>
  <c r="J64" i="326"/>
  <c r="I64" i="326"/>
  <c r="K63" i="326"/>
  <c r="J63" i="326"/>
  <c r="I63" i="326"/>
  <c r="H63" i="326"/>
  <c r="G63" i="326"/>
  <c r="F63" i="326"/>
  <c r="E63" i="326"/>
  <c r="D63" i="326"/>
  <c r="C63" i="326"/>
  <c r="J62" i="326"/>
  <c r="I62" i="326"/>
  <c r="J61" i="326"/>
  <c r="I61" i="326"/>
  <c r="J60" i="326"/>
  <c r="I60" i="326"/>
  <c r="J59" i="326"/>
  <c r="I59" i="326"/>
  <c r="J58" i="326"/>
  <c r="I58" i="326"/>
  <c r="J57" i="326"/>
  <c r="I57" i="326"/>
  <c r="J56" i="326"/>
  <c r="I56" i="326"/>
  <c r="J55" i="326"/>
  <c r="I55" i="326"/>
  <c r="J54" i="326"/>
  <c r="I54" i="326"/>
  <c r="K53" i="326"/>
  <c r="J53" i="326"/>
  <c r="I53" i="326"/>
  <c r="H53" i="326"/>
  <c r="G53" i="326"/>
  <c r="F53" i="326"/>
  <c r="E53" i="326"/>
  <c r="D53" i="326"/>
  <c r="C53" i="326"/>
  <c r="J52" i="326"/>
  <c r="I52" i="326"/>
  <c r="J51" i="326"/>
  <c r="I51" i="326"/>
  <c r="J50" i="326"/>
  <c r="I50" i="326"/>
  <c r="J49" i="326"/>
  <c r="I49" i="326"/>
  <c r="J48" i="326"/>
  <c r="I48" i="326"/>
  <c r="J47" i="326"/>
  <c r="I47" i="326"/>
  <c r="K46" i="326"/>
  <c r="J46" i="326"/>
  <c r="I46" i="326"/>
  <c r="H46" i="326"/>
  <c r="K45" i="326"/>
  <c r="H45" i="326"/>
  <c r="G45" i="326"/>
  <c r="I45" i="326" s="1"/>
  <c r="J45" i="326" s="1"/>
  <c r="F45" i="326"/>
  <c r="E45" i="326"/>
  <c r="D45" i="326"/>
  <c r="C45" i="326"/>
  <c r="J44" i="326"/>
  <c r="I44" i="326"/>
  <c r="J43" i="326"/>
  <c r="I43" i="326"/>
  <c r="J42" i="326"/>
  <c r="I42" i="326"/>
  <c r="J41" i="326"/>
  <c r="I41" i="326"/>
  <c r="J40" i="326"/>
  <c r="I40" i="326"/>
  <c r="J39" i="326"/>
  <c r="I39" i="326"/>
  <c r="K38" i="326"/>
  <c r="J38" i="326"/>
  <c r="I38" i="326"/>
  <c r="H38" i="326"/>
  <c r="G38" i="326"/>
  <c r="F38" i="326"/>
  <c r="E38" i="326"/>
  <c r="D38" i="326"/>
  <c r="C38" i="326"/>
  <c r="J37" i="326"/>
  <c r="I37" i="326"/>
  <c r="J36" i="326"/>
  <c r="I36" i="326"/>
  <c r="J35" i="326"/>
  <c r="I35" i="326"/>
  <c r="J34" i="326"/>
  <c r="I34" i="326"/>
  <c r="J33" i="326"/>
  <c r="I33" i="326"/>
  <c r="J32" i="326"/>
  <c r="I32" i="326"/>
  <c r="J31" i="326"/>
  <c r="I31" i="326"/>
  <c r="J30" i="326"/>
  <c r="I30" i="326"/>
  <c r="J29" i="326"/>
  <c r="I29" i="326"/>
  <c r="J28" i="326"/>
  <c r="I28" i="326"/>
  <c r="K27" i="326"/>
  <c r="J27" i="326"/>
  <c r="I27" i="326"/>
  <c r="H27" i="326"/>
  <c r="G27" i="326"/>
  <c r="F27" i="326"/>
  <c r="E27" i="326"/>
  <c r="D27" i="326"/>
  <c r="C27" i="326"/>
  <c r="J26" i="326"/>
  <c r="I26" i="326"/>
  <c r="J25" i="326"/>
  <c r="I25" i="326"/>
  <c r="J24" i="326"/>
  <c r="I24" i="326"/>
  <c r="J23" i="326"/>
  <c r="I23" i="326"/>
  <c r="J22" i="326"/>
  <c r="I22" i="326"/>
  <c r="J21" i="326"/>
  <c r="I21" i="326"/>
  <c r="J20" i="326"/>
  <c r="I20" i="326"/>
  <c r="J19" i="326"/>
  <c r="I19" i="326"/>
  <c r="J18" i="326"/>
  <c r="I18" i="326"/>
  <c r="K17" i="326"/>
  <c r="J17" i="326"/>
  <c r="I17" i="326"/>
  <c r="H17" i="326"/>
  <c r="G17" i="326"/>
  <c r="F17" i="326"/>
  <c r="E17" i="326"/>
  <c r="D17" i="326"/>
  <c r="C17" i="326"/>
  <c r="J16" i="326"/>
  <c r="I16" i="326"/>
  <c r="J15" i="326"/>
  <c r="I15" i="326"/>
  <c r="J14" i="326"/>
  <c r="I14" i="326"/>
  <c r="K13" i="326"/>
  <c r="J13" i="326"/>
  <c r="I13" i="326"/>
  <c r="H13" i="326"/>
  <c r="G13" i="326"/>
  <c r="F13" i="326"/>
  <c r="E13" i="326"/>
  <c r="D13" i="326"/>
  <c r="C13" i="326"/>
  <c r="J12" i="326"/>
  <c r="I12" i="326"/>
  <c r="J11" i="326"/>
  <c r="I11" i="326"/>
  <c r="J10" i="326"/>
  <c r="I10" i="326"/>
  <c r="K9" i="326"/>
  <c r="I9" i="326"/>
  <c r="J9" i="326" s="1"/>
  <c r="H9" i="326"/>
  <c r="K8" i="326"/>
  <c r="H8" i="326"/>
  <c r="G8" i="326"/>
  <c r="I8" i="326" s="1"/>
  <c r="J8" i="326" s="1"/>
  <c r="F8" i="326"/>
  <c r="F7" i="326" s="1"/>
  <c r="F166" i="326" s="1"/>
  <c r="E8" i="326"/>
  <c r="D8" i="326"/>
  <c r="C8" i="326"/>
  <c r="K7" i="326"/>
  <c r="H7" i="326"/>
  <c r="E7" i="326"/>
  <c r="D7" i="326"/>
  <c r="C7" i="326"/>
  <c r="K3" i="326"/>
  <c r="J3" i="326"/>
  <c r="I3" i="326"/>
  <c r="H3" i="326"/>
  <c r="G3" i="326"/>
  <c r="F3" i="326"/>
  <c r="E3" i="326"/>
  <c r="D3" i="326"/>
  <c r="C3" i="326"/>
  <c r="D2" i="326"/>
  <c r="C2" i="326"/>
  <c r="B2" i="326"/>
  <c r="A2" i="326"/>
  <c r="A1" i="326"/>
  <c r="K171" i="242"/>
  <c r="H171" i="242"/>
  <c r="E171" i="242"/>
  <c r="D171" i="242"/>
  <c r="C171" i="242"/>
  <c r="A168" i="242"/>
  <c r="K166" i="242"/>
  <c r="H166" i="242"/>
  <c r="E166" i="242"/>
  <c r="D166" i="242"/>
  <c r="C166" i="242"/>
  <c r="J165" i="242"/>
  <c r="J164" i="242"/>
  <c r="I164" i="242"/>
  <c r="K163" i="242"/>
  <c r="J163" i="242"/>
  <c r="I163" i="242"/>
  <c r="H163" i="242"/>
  <c r="G163" i="242"/>
  <c r="F163" i="242"/>
  <c r="E163" i="242"/>
  <c r="D163" i="242"/>
  <c r="C163" i="242"/>
  <c r="K161" i="242"/>
  <c r="J161" i="242"/>
  <c r="I161" i="242"/>
  <c r="H161" i="242"/>
  <c r="K160" i="242"/>
  <c r="J160" i="242"/>
  <c r="I160" i="242"/>
  <c r="H160" i="242"/>
  <c r="G160" i="242"/>
  <c r="F160" i="242"/>
  <c r="E160" i="242"/>
  <c r="D160" i="242"/>
  <c r="C160" i="242"/>
  <c r="K158" i="242"/>
  <c r="J158" i="242"/>
  <c r="I158" i="242"/>
  <c r="H158" i="242"/>
  <c r="K157" i="242"/>
  <c r="H157" i="242"/>
  <c r="G157" i="242"/>
  <c r="I157" i="242" s="1"/>
  <c r="J157" i="242" s="1"/>
  <c r="F157" i="242"/>
  <c r="E157" i="242"/>
  <c r="D157" i="242"/>
  <c r="C157" i="242"/>
  <c r="K155" i="242"/>
  <c r="I155" i="242"/>
  <c r="J155" i="242" s="1"/>
  <c r="H155" i="242"/>
  <c r="K154" i="242"/>
  <c r="H154" i="242"/>
  <c r="G154" i="242"/>
  <c r="I154" i="242" s="1"/>
  <c r="J154" i="242" s="1"/>
  <c r="F154" i="242"/>
  <c r="E154" i="242"/>
  <c r="D154" i="242"/>
  <c r="C154" i="242"/>
  <c r="J153" i="242"/>
  <c r="K152" i="242"/>
  <c r="I152" i="242"/>
  <c r="J152" i="242" s="1"/>
  <c r="H152" i="242"/>
  <c r="K151" i="242"/>
  <c r="H151" i="242"/>
  <c r="G151" i="242"/>
  <c r="I151" i="242" s="1"/>
  <c r="J151" i="242" s="1"/>
  <c r="F151" i="242"/>
  <c r="E151" i="242"/>
  <c r="D151" i="242"/>
  <c r="C151" i="242"/>
  <c r="K149" i="242"/>
  <c r="J149" i="242"/>
  <c r="I149" i="242"/>
  <c r="H149" i="242"/>
  <c r="K148" i="242"/>
  <c r="H148" i="242"/>
  <c r="G148" i="242"/>
  <c r="I148" i="242" s="1"/>
  <c r="J148" i="242" s="1"/>
  <c r="F148" i="242"/>
  <c r="E148" i="242"/>
  <c r="D148" i="242"/>
  <c r="C148" i="242"/>
  <c r="J146" i="242"/>
  <c r="I146" i="242"/>
  <c r="J145" i="242"/>
  <c r="I145" i="242"/>
  <c r="K144" i="242"/>
  <c r="J144" i="242"/>
  <c r="I144" i="242"/>
  <c r="H144" i="242"/>
  <c r="J143" i="242"/>
  <c r="I143" i="242"/>
  <c r="J142" i="242"/>
  <c r="I142" i="242"/>
  <c r="J141" i="242"/>
  <c r="I141" i="242"/>
  <c r="K140" i="242"/>
  <c r="J140" i="242"/>
  <c r="I140" i="242"/>
  <c r="H140" i="242"/>
  <c r="G140" i="242"/>
  <c r="F140" i="242"/>
  <c r="E140" i="242"/>
  <c r="D140" i="242"/>
  <c r="C140" i="242"/>
  <c r="J139" i="242"/>
  <c r="I139" i="242"/>
  <c r="K138" i="242"/>
  <c r="J138" i="242"/>
  <c r="I138" i="242"/>
  <c r="H138" i="242"/>
  <c r="G138" i="242"/>
  <c r="F138" i="242"/>
  <c r="E138" i="242"/>
  <c r="D138" i="242"/>
  <c r="C138" i="242"/>
  <c r="J137" i="242"/>
  <c r="J136" i="242"/>
  <c r="I136" i="242"/>
  <c r="K135" i="242"/>
  <c r="J135" i="242"/>
  <c r="I135" i="242"/>
  <c r="H135" i="242"/>
  <c r="G135" i="242"/>
  <c r="F135" i="242"/>
  <c r="E135" i="242"/>
  <c r="D135" i="242"/>
  <c r="C135" i="242"/>
  <c r="J134" i="242"/>
  <c r="J133" i="242"/>
  <c r="I133" i="242"/>
  <c r="I132" i="242"/>
  <c r="J132" i="242" s="1"/>
  <c r="J131" i="242"/>
  <c r="I131" i="242"/>
  <c r="K130" i="242"/>
  <c r="H130" i="242"/>
  <c r="G130" i="242"/>
  <c r="I130" i="242" s="1"/>
  <c r="J130" i="242" s="1"/>
  <c r="F130" i="242"/>
  <c r="E130" i="242"/>
  <c r="D130" i="242"/>
  <c r="C130" i="242"/>
  <c r="J129" i="242"/>
  <c r="I129" i="242"/>
  <c r="J128" i="242"/>
  <c r="I128" i="242"/>
  <c r="J127" i="242"/>
  <c r="I127" i="242"/>
  <c r="J126" i="242"/>
  <c r="I126" i="242"/>
  <c r="J125" i="242"/>
  <c r="I125" i="242"/>
  <c r="J124" i="242"/>
  <c r="I124" i="242"/>
  <c r="J123" i="242"/>
  <c r="I123" i="242"/>
  <c r="J122" i="242"/>
  <c r="I122" i="242"/>
  <c r="J121" i="242"/>
  <c r="I121" i="242"/>
  <c r="J120" i="242"/>
  <c r="I120" i="242"/>
  <c r="K119" i="242"/>
  <c r="J119" i="242"/>
  <c r="I119" i="242"/>
  <c r="H119" i="242"/>
  <c r="K118" i="242"/>
  <c r="J118" i="242"/>
  <c r="I118" i="242"/>
  <c r="H118" i="242"/>
  <c r="G118" i="242"/>
  <c r="F118" i="242"/>
  <c r="E118" i="242"/>
  <c r="D118" i="242"/>
  <c r="C118" i="242"/>
  <c r="K117" i="242"/>
  <c r="H117" i="242"/>
  <c r="G117" i="242"/>
  <c r="I117" i="242" s="1"/>
  <c r="J117" i="242" s="1"/>
  <c r="F117" i="242"/>
  <c r="E117" i="242"/>
  <c r="D117" i="242"/>
  <c r="C117" i="242"/>
  <c r="J116" i="242"/>
  <c r="I116" i="242"/>
  <c r="J115" i="242"/>
  <c r="I115" i="242"/>
  <c r="K114" i="242"/>
  <c r="J114" i="242"/>
  <c r="I114" i="242"/>
  <c r="H114" i="242"/>
  <c r="G114" i="242"/>
  <c r="F114" i="242"/>
  <c r="E114" i="242"/>
  <c r="D114" i="242"/>
  <c r="C114" i="242"/>
  <c r="J113" i="242"/>
  <c r="I113" i="242"/>
  <c r="J112" i="242"/>
  <c r="I112" i="242"/>
  <c r="K111" i="242"/>
  <c r="J111" i="242"/>
  <c r="I111" i="242"/>
  <c r="H111" i="242"/>
  <c r="G111" i="242"/>
  <c r="F111" i="242"/>
  <c r="E111" i="242"/>
  <c r="D111" i="242"/>
  <c r="C111" i="242"/>
  <c r="K110" i="242"/>
  <c r="J110" i="242"/>
  <c r="I110" i="242"/>
  <c r="H110" i="242"/>
  <c r="G110" i="242"/>
  <c r="F110" i="242"/>
  <c r="E110" i="242"/>
  <c r="D110" i="242"/>
  <c r="C110" i="242"/>
  <c r="J109" i="242"/>
  <c r="I109" i="242"/>
  <c r="K108" i="242"/>
  <c r="J108" i="242"/>
  <c r="I108" i="242"/>
  <c r="H108" i="242"/>
  <c r="J107" i="242"/>
  <c r="I107" i="242"/>
  <c r="J106" i="242"/>
  <c r="I106" i="242"/>
  <c r="J105" i="242"/>
  <c r="I105" i="242"/>
  <c r="J104" i="242"/>
  <c r="I104" i="242"/>
  <c r="K103" i="242"/>
  <c r="J103" i="242"/>
  <c r="I103" i="242"/>
  <c r="H103" i="242"/>
  <c r="G103" i="242"/>
  <c r="F103" i="242"/>
  <c r="E103" i="242"/>
  <c r="D103" i="242"/>
  <c r="C103" i="242"/>
  <c r="J102" i="242"/>
  <c r="I102" i="242"/>
  <c r="J101" i="242"/>
  <c r="I101" i="242"/>
  <c r="J100" i="242"/>
  <c r="I100" i="242"/>
  <c r="K99" i="242"/>
  <c r="J99" i="242"/>
  <c r="I99" i="242"/>
  <c r="H99" i="242"/>
  <c r="G99" i="242"/>
  <c r="F99" i="242"/>
  <c r="E99" i="242"/>
  <c r="D99" i="242"/>
  <c r="C99" i="242"/>
  <c r="J98" i="242"/>
  <c r="I98" i="242"/>
  <c r="J97" i="242"/>
  <c r="I97" i="242"/>
  <c r="J96" i="242"/>
  <c r="I96" i="242"/>
  <c r="J95" i="242"/>
  <c r="I95" i="242"/>
  <c r="J94" i="242"/>
  <c r="I94" i="242"/>
  <c r="J93" i="242"/>
  <c r="I93" i="242"/>
  <c r="J92" i="242"/>
  <c r="I92" i="242"/>
  <c r="J91" i="242"/>
  <c r="I91" i="242"/>
  <c r="J90" i="242"/>
  <c r="I90" i="242"/>
  <c r="J89" i="242"/>
  <c r="I89" i="242"/>
  <c r="K88" i="242"/>
  <c r="J88" i="242"/>
  <c r="I88" i="242"/>
  <c r="H88" i="242"/>
  <c r="J87" i="242"/>
  <c r="I87" i="242"/>
  <c r="J86" i="242"/>
  <c r="I86" i="242"/>
  <c r="J85" i="242"/>
  <c r="I85" i="242"/>
  <c r="K84" i="242"/>
  <c r="J84" i="242"/>
  <c r="I84" i="242"/>
  <c r="H84" i="242"/>
  <c r="J83" i="242"/>
  <c r="I83" i="242"/>
  <c r="J82" i="242"/>
  <c r="I82" i="242"/>
  <c r="J81" i="242"/>
  <c r="I81" i="242"/>
  <c r="J80" i="242"/>
  <c r="I80" i="242"/>
  <c r="J79" i="242"/>
  <c r="I79" i="242"/>
  <c r="J78" i="242"/>
  <c r="I78" i="242"/>
  <c r="K77" i="242"/>
  <c r="I77" i="242"/>
  <c r="J77" i="242" s="1"/>
  <c r="H77" i="242"/>
  <c r="K76" i="242"/>
  <c r="H76" i="242"/>
  <c r="G76" i="242"/>
  <c r="I76" i="242" s="1"/>
  <c r="J76" i="242" s="1"/>
  <c r="F76" i="242"/>
  <c r="F75" i="242" s="1"/>
  <c r="E76" i="242"/>
  <c r="D76" i="242"/>
  <c r="C76" i="242"/>
  <c r="K75" i="242"/>
  <c r="H75" i="242"/>
  <c r="E75" i="242"/>
  <c r="D75" i="242"/>
  <c r="C75" i="242"/>
  <c r="J74" i="242"/>
  <c r="J73" i="242"/>
  <c r="I73" i="242"/>
  <c r="J72" i="242"/>
  <c r="I72" i="242"/>
  <c r="J71" i="242"/>
  <c r="I71" i="242"/>
  <c r="J70" i="242"/>
  <c r="I70" i="242"/>
  <c r="K69" i="242"/>
  <c r="J69" i="242"/>
  <c r="I69" i="242"/>
  <c r="H69" i="242"/>
  <c r="G69" i="242"/>
  <c r="F69" i="242"/>
  <c r="E69" i="242"/>
  <c r="D69" i="242"/>
  <c r="C69" i="242"/>
  <c r="J68" i="242"/>
  <c r="I68" i="242"/>
  <c r="J67" i="242"/>
  <c r="I67" i="242"/>
  <c r="J66" i="242"/>
  <c r="I66" i="242"/>
  <c r="J65" i="242"/>
  <c r="I65" i="242"/>
  <c r="J64" i="242"/>
  <c r="I64" i="242"/>
  <c r="K63" i="242"/>
  <c r="J63" i="242"/>
  <c r="I63" i="242"/>
  <c r="H63" i="242"/>
  <c r="G63" i="242"/>
  <c r="F63" i="242"/>
  <c r="E63" i="242"/>
  <c r="D63" i="242"/>
  <c r="C63" i="242"/>
  <c r="J62" i="242"/>
  <c r="I62" i="242"/>
  <c r="J61" i="242"/>
  <c r="I61" i="242"/>
  <c r="J60" i="242"/>
  <c r="I60" i="242"/>
  <c r="J59" i="242"/>
  <c r="I59" i="242"/>
  <c r="J58" i="242"/>
  <c r="I58" i="242"/>
  <c r="J57" i="242"/>
  <c r="I57" i="242"/>
  <c r="J56" i="242"/>
  <c r="I56" i="242"/>
  <c r="J55" i="242"/>
  <c r="I55" i="242"/>
  <c r="J54" i="242"/>
  <c r="I54" i="242"/>
  <c r="K53" i="242"/>
  <c r="J53" i="242"/>
  <c r="I53" i="242"/>
  <c r="H53" i="242"/>
  <c r="G53" i="242"/>
  <c r="F53" i="242"/>
  <c r="E53" i="242"/>
  <c r="D53" i="242"/>
  <c r="C53" i="242"/>
  <c r="J52" i="242"/>
  <c r="I52" i="242"/>
  <c r="J51" i="242"/>
  <c r="I51" i="242"/>
  <c r="J50" i="242"/>
  <c r="I50" i="242"/>
  <c r="J49" i="242"/>
  <c r="I49" i="242"/>
  <c r="J48" i="242"/>
  <c r="I48" i="242"/>
  <c r="J47" i="242"/>
  <c r="I47" i="242"/>
  <c r="J46" i="242"/>
  <c r="I46" i="242"/>
  <c r="K45" i="242"/>
  <c r="J45" i="242"/>
  <c r="I45" i="242"/>
  <c r="H45" i="242"/>
  <c r="G45" i="242"/>
  <c r="F45" i="242"/>
  <c r="E45" i="242"/>
  <c r="D45" i="242"/>
  <c r="C45" i="242"/>
  <c r="J44" i="242"/>
  <c r="I44" i="242"/>
  <c r="J43" i="242"/>
  <c r="I43" i="242"/>
  <c r="J42" i="242"/>
  <c r="I42" i="242"/>
  <c r="J41" i="242"/>
  <c r="I41" i="242"/>
  <c r="K40" i="242"/>
  <c r="I40" i="242"/>
  <c r="J40" i="242" s="1"/>
  <c r="H40" i="242"/>
  <c r="J39" i="242"/>
  <c r="I39" i="242"/>
  <c r="K38" i="242"/>
  <c r="I38" i="242"/>
  <c r="J38" i="242" s="1"/>
  <c r="H38" i="242"/>
  <c r="G38" i="242"/>
  <c r="F38" i="242"/>
  <c r="E38" i="242"/>
  <c r="D38" i="242"/>
  <c r="C38" i="242"/>
  <c r="J37" i="242"/>
  <c r="I37" i="242"/>
  <c r="J36" i="242"/>
  <c r="I36" i="242"/>
  <c r="J35" i="242"/>
  <c r="I35" i="242"/>
  <c r="I34" i="242"/>
  <c r="J34" i="242" s="1"/>
  <c r="J33" i="242"/>
  <c r="I33" i="242"/>
  <c r="J32" i="242"/>
  <c r="I32" i="242"/>
  <c r="J31" i="242"/>
  <c r="I31" i="242"/>
  <c r="J30" i="242"/>
  <c r="I30" i="242"/>
  <c r="J29" i="242"/>
  <c r="I29" i="242"/>
  <c r="J28" i="242"/>
  <c r="I28" i="242"/>
  <c r="K27" i="242"/>
  <c r="H27" i="242"/>
  <c r="G27" i="242"/>
  <c r="I27" i="242" s="1"/>
  <c r="J27" i="242" s="1"/>
  <c r="F27" i="242"/>
  <c r="E27" i="242"/>
  <c r="D27" i="242"/>
  <c r="C27" i="242"/>
  <c r="J26" i="242"/>
  <c r="I26" i="242"/>
  <c r="J25" i="242"/>
  <c r="I25" i="242"/>
  <c r="J24" i="242"/>
  <c r="I24" i="242"/>
  <c r="J23" i="242"/>
  <c r="I23" i="242"/>
  <c r="J22" i="242"/>
  <c r="I22" i="242"/>
  <c r="J21" i="242"/>
  <c r="I21" i="242"/>
  <c r="J20" i="242"/>
  <c r="I20" i="242"/>
  <c r="J19" i="242"/>
  <c r="I19" i="242"/>
  <c r="K18" i="242"/>
  <c r="J18" i="242"/>
  <c r="I18" i="242"/>
  <c r="H18" i="242"/>
  <c r="K17" i="242"/>
  <c r="J17" i="242"/>
  <c r="I17" i="242"/>
  <c r="H17" i="242"/>
  <c r="G17" i="242"/>
  <c r="F17" i="242"/>
  <c r="E17" i="242"/>
  <c r="D17" i="242"/>
  <c r="C17" i="242"/>
  <c r="J16" i="242"/>
  <c r="I16" i="242"/>
  <c r="J15" i="242"/>
  <c r="I15" i="242"/>
  <c r="J14" i="242"/>
  <c r="I14" i="242"/>
  <c r="K13" i="242"/>
  <c r="J13" i="242"/>
  <c r="I13" i="242"/>
  <c r="H13" i="242"/>
  <c r="G13" i="242"/>
  <c r="F13" i="242"/>
  <c r="E13" i="242"/>
  <c r="D13" i="242"/>
  <c r="C13" i="242"/>
  <c r="J12" i="242"/>
  <c r="I12" i="242"/>
  <c r="J11" i="242"/>
  <c r="I11" i="242"/>
  <c r="J10" i="242"/>
  <c r="I10" i="242"/>
  <c r="K9" i="242"/>
  <c r="J9" i="242"/>
  <c r="I9" i="242"/>
  <c r="H9" i="242"/>
  <c r="K8" i="242"/>
  <c r="J8" i="242"/>
  <c r="I8" i="242"/>
  <c r="H8" i="242"/>
  <c r="G8" i="242"/>
  <c r="F8" i="242"/>
  <c r="E8" i="242"/>
  <c r="D8" i="242"/>
  <c r="C8" i="242"/>
  <c r="K7" i="242"/>
  <c r="H7" i="242"/>
  <c r="G7" i="242"/>
  <c r="I7" i="242" s="1"/>
  <c r="J7" i="242" s="1"/>
  <c r="F7" i="242"/>
  <c r="E7" i="242"/>
  <c r="D7" i="242"/>
  <c r="C7" i="242"/>
  <c r="K3" i="242"/>
  <c r="J3" i="242"/>
  <c r="I3" i="242"/>
  <c r="H3" i="242"/>
  <c r="G3" i="242"/>
  <c r="F3" i="242"/>
  <c r="E3" i="242"/>
  <c r="D3" i="242"/>
  <c r="C3" i="242"/>
  <c r="D2" i="242"/>
  <c r="C2" i="242"/>
  <c r="B2" i="242"/>
  <c r="A2" i="242"/>
  <c r="A1" i="242"/>
  <c r="E18" i="180"/>
  <c r="D18" i="180"/>
  <c r="C18" i="180"/>
  <c r="B18" i="180"/>
  <c r="J17" i="180"/>
  <c r="H17" i="180"/>
  <c r="G17" i="180"/>
  <c r="F17" i="180"/>
  <c r="I17" i="180" s="1"/>
  <c r="I16" i="180"/>
  <c r="G16" i="180"/>
  <c r="F16" i="180"/>
  <c r="B38" i="172" s="1"/>
  <c r="H15" i="180"/>
  <c r="G15" i="180"/>
  <c r="F15" i="180"/>
  <c r="J15" i="180" s="1"/>
  <c r="J14" i="180"/>
  <c r="I14" i="180"/>
  <c r="G14" i="180"/>
  <c r="F14" i="180"/>
  <c r="B36" i="172" s="1"/>
  <c r="G13" i="180"/>
  <c r="F13" i="180"/>
  <c r="I13" i="180" s="1"/>
  <c r="J12" i="180"/>
  <c r="I12" i="180"/>
  <c r="H12" i="180"/>
  <c r="G12" i="180"/>
  <c r="F12" i="180"/>
  <c r="B34" i="172" s="1"/>
  <c r="J11" i="180"/>
  <c r="H11" i="180"/>
  <c r="G11" i="180"/>
  <c r="F11" i="180"/>
  <c r="I11" i="180" s="1"/>
  <c r="G10" i="180"/>
  <c r="F10" i="180"/>
  <c r="B32" i="172" s="1"/>
  <c r="J9" i="180"/>
  <c r="I9" i="180"/>
  <c r="H9" i="180"/>
  <c r="G9" i="180"/>
  <c r="F9" i="180"/>
  <c r="J8" i="180"/>
  <c r="I8" i="180"/>
  <c r="H8" i="180"/>
  <c r="G8" i="180"/>
  <c r="F8" i="180"/>
  <c r="J7" i="180"/>
  <c r="I7" i="180"/>
  <c r="H7" i="180"/>
  <c r="G7" i="180"/>
  <c r="F7" i="180"/>
  <c r="J6" i="180"/>
  <c r="I6" i="180"/>
  <c r="H6" i="180"/>
  <c r="G6" i="180"/>
  <c r="F6" i="180"/>
  <c r="I3" i="180"/>
  <c r="H3" i="180"/>
  <c r="G3" i="180"/>
  <c r="F3" i="180"/>
  <c r="E3" i="180"/>
  <c r="D3" i="180"/>
  <c r="C3" i="180"/>
  <c r="B3" i="180"/>
  <c r="C2" i="180"/>
  <c r="B2" i="180"/>
  <c r="A1" i="180"/>
  <c r="A44" i="183"/>
  <c r="K43" i="183"/>
  <c r="J43" i="183"/>
  <c r="I43" i="183"/>
  <c r="H43" i="183"/>
  <c r="G43" i="183"/>
  <c r="F43" i="183"/>
  <c r="E43" i="183"/>
  <c r="D43" i="183"/>
  <c r="C43" i="183"/>
  <c r="J42" i="183"/>
  <c r="J41" i="183"/>
  <c r="I41" i="183"/>
  <c r="A41" i="183"/>
  <c r="J40" i="183"/>
  <c r="I40" i="183"/>
  <c r="A40" i="183"/>
  <c r="J39" i="183"/>
  <c r="I39" i="183"/>
  <c r="A39" i="183"/>
  <c r="J38" i="183"/>
  <c r="I38" i="183"/>
  <c r="A38" i="183"/>
  <c r="J37" i="183"/>
  <c r="I37" i="183"/>
  <c r="A37" i="183"/>
  <c r="J36" i="183"/>
  <c r="I36" i="183"/>
  <c r="A36" i="183"/>
  <c r="J35" i="183"/>
  <c r="I35" i="183"/>
  <c r="A35" i="183"/>
  <c r="J34" i="183"/>
  <c r="I34" i="183"/>
  <c r="A34" i="183"/>
  <c r="J33" i="183"/>
  <c r="I33" i="183"/>
  <c r="A33" i="183"/>
  <c r="K31" i="183"/>
  <c r="J31" i="183"/>
  <c r="I31" i="183"/>
  <c r="H31" i="183"/>
  <c r="G31" i="183"/>
  <c r="F31" i="183"/>
  <c r="E31" i="183"/>
  <c r="D31" i="183"/>
  <c r="C31" i="183"/>
  <c r="A31" i="183"/>
  <c r="J30" i="183"/>
  <c r="K29" i="183"/>
  <c r="J29" i="183"/>
  <c r="I29" i="183"/>
  <c r="H29" i="183"/>
  <c r="G29" i="183"/>
  <c r="F29" i="183"/>
  <c r="E29" i="183"/>
  <c r="D29" i="183"/>
  <c r="C29" i="183"/>
  <c r="J28" i="183"/>
  <c r="I28" i="183"/>
  <c r="A28" i="183"/>
  <c r="J27" i="183"/>
  <c r="I27" i="183"/>
  <c r="A27" i="183"/>
  <c r="J26" i="183"/>
  <c r="I26" i="183"/>
  <c r="A26" i="183"/>
  <c r="J25" i="183"/>
  <c r="I25" i="183"/>
  <c r="A25" i="183"/>
  <c r="J24" i="183"/>
  <c r="I24" i="183"/>
  <c r="A24" i="183"/>
  <c r="J23" i="183"/>
  <c r="I23" i="183"/>
  <c r="A23" i="183"/>
  <c r="J22" i="183"/>
  <c r="I22" i="183"/>
  <c r="A22" i="183"/>
  <c r="J21" i="183"/>
  <c r="I21" i="183"/>
  <c r="A21" i="183"/>
  <c r="J20" i="183"/>
  <c r="I20" i="183"/>
  <c r="A20" i="183"/>
  <c r="J19" i="183"/>
  <c r="I19" i="183"/>
  <c r="A19" i="183"/>
  <c r="K16" i="183"/>
  <c r="J16" i="183"/>
  <c r="I16" i="183"/>
  <c r="H16" i="183"/>
  <c r="G16" i="183"/>
  <c r="F16" i="183"/>
  <c r="E16" i="183"/>
  <c r="D16" i="183"/>
  <c r="C16" i="183"/>
  <c r="J15" i="183"/>
  <c r="I15" i="183"/>
  <c r="J14" i="183"/>
  <c r="I14" i="183"/>
  <c r="J13" i="183"/>
  <c r="I13" i="183"/>
  <c r="J12" i="183"/>
  <c r="I12" i="183"/>
  <c r="J11" i="183"/>
  <c r="I11" i="183"/>
  <c r="J10" i="183"/>
  <c r="I10" i="183"/>
  <c r="J9" i="183"/>
  <c r="I9" i="183"/>
  <c r="J8" i="183"/>
  <c r="I8" i="183"/>
  <c r="J7" i="183"/>
  <c r="I7" i="183"/>
  <c r="J6" i="183"/>
  <c r="I6" i="183"/>
  <c r="K3" i="183"/>
  <c r="J3" i="183"/>
  <c r="I3" i="183"/>
  <c r="H3" i="183"/>
  <c r="G3" i="183"/>
  <c r="F3" i="183"/>
  <c r="E3" i="183"/>
  <c r="D3" i="183"/>
  <c r="C3" i="183"/>
  <c r="D2" i="183"/>
  <c r="C2" i="183"/>
  <c r="B2" i="183"/>
  <c r="A2" i="183"/>
  <c r="A1" i="183"/>
  <c r="A45" i="181"/>
  <c r="K44" i="181"/>
  <c r="H44" i="181"/>
  <c r="E44" i="181"/>
  <c r="D44" i="181"/>
  <c r="C44" i="181"/>
  <c r="A44" i="181"/>
  <c r="J43" i="181"/>
  <c r="I43" i="181"/>
  <c r="A43" i="181"/>
  <c r="K42" i="181"/>
  <c r="H42" i="181"/>
  <c r="E42" i="181"/>
  <c r="D42" i="181"/>
  <c r="C42" i="181"/>
  <c r="A42" i="181"/>
  <c r="J41" i="181"/>
  <c r="I41" i="181"/>
  <c r="A41" i="181"/>
  <c r="J40" i="181"/>
  <c r="I40" i="181"/>
  <c r="A40" i="181"/>
  <c r="K39" i="181"/>
  <c r="I39" i="181"/>
  <c r="J39" i="181" s="1"/>
  <c r="H39" i="181"/>
  <c r="A39" i="181"/>
  <c r="K38" i="181"/>
  <c r="H38" i="181"/>
  <c r="E38" i="181"/>
  <c r="D38" i="181"/>
  <c r="C38" i="181"/>
  <c r="A38" i="181"/>
  <c r="I37" i="181"/>
  <c r="K36" i="181"/>
  <c r="I36" i="181"/>
  <c r="J36" i="181" s="1"/>
  <c r="H36" i="181"/>
  <c r="G36" i="181"/>
  <c r="F36" i="181"/>
  <c r="E36" i="181"/>
  <c r="D36" i="181"/>
  <c r="C36" i="181"/>
  <c r="J35" i="181"/>
  <c r="I35" i="181"/>
  <c r="A35" i="181"/>
  <c r="K34" i="181"/>
  <c r="I34" i="181"/>
  <c r="J34" i="181" s="1"/>
  <c r="H34" i="181"/>
  <c r="A34" i="181"/>
  <c r="K33" i="181"/>
  <c r="J33" i="181"/>
  <c r="I33" i="181"/>
  <c r="H33" i="181"/>
  <c r="A33" i="181"/>
  <c r="K32" i="181"/>
  <c r="I32" i="181"/>
  <c r="J32" i="181" s="1"/>
  <c r="H32" i="181"/>
  <c r="A32" i="181"/>
  <c r="K31" i="181"/>
  <c r="I31" i="181"/>
  <c r="J31" i="181" s="1"/>
  <c r="H31" i="181"/>
  <c r="A31" i="181"/>
  <c r="K30" i="181"/>
  <c r="J30" i="181"/>
  <c r="I30" i="181"/>
  <c r="H30" i="181"/>
  <c r="A30" i="181"/>
  <c r="K29" i="181"/>
  <c r="I29" i="181"/>
  <c r="J29" i="181" s="1"/>
  <c r="H29" i="181"/>
  <c r="A29" i="181"/>
  <c r="K28" i="181"/>
  <c r="I28" i="181"/>
  <c r="J28" i="181" s="1"/>
  <c r="H28" i="181"/>
  <c r="A28" i="181"/>
  <c r="K27" i="181"/>
  <c r="J27" i="181"/>
  <c r="I27" i="181"/>
  <c r="H27" i="181"/>
  <c r="A27" i="181"/>
  <c r="K26" i="181"/>
  <c r="I26" i="181"/>
  <c r="J26" i="181" s="1"/>
  <c r="H26" i="181"/>
  <c r="A26" i="181"/>
  <c r="K25" i="181"/>
  <c r="I25" i="181"/>
  <c r="J25" i="181" s="1"/>
  <c r="H25" i="181"/>
  <c r="A25" i="181"/>
  <c r="K22" i="181"/>
  <c r="H22" i="181"/>
  <c r="G22" i="181"/>
  <c r="I22" i="181" s="1"/>
  <c r="J22" i="181" s="1"/>
  <c r="F22" i="181"/>
  <c r="F38" i="181" s="1"/>
  <c r="F42" i="181" s="1"/>
  <c r="F44" i="181" s="1"/>
  <c r="E22" i="181"/>
  <c r="D22" i="181"/>
  <c r="C22" i="181"/>
  <c r="J21" i="181"/>
  <c r="I21" i="181"/>
  <c r="A21" i="181"/>
  <c r="K20" i="181"/>
  <c r="I20" i="181"/>
  <c r="J20" i="181" s="1"/>
  <c r="H20" i="181"/>
  <c r="A20" i="181"/>
  <c r="K19" i="181"/>
  <c r="J19" i="181"/>
  <c r="I19" i="181"/>
  <c r="H19" i="181"/>
  <c r="A19" i="181"/>
  <c r="K18" i="181"/>
  <c r="I18" i="181"/>
  <c r="J18" i="181" s="1"/>
  <c r="H18" i="181"/>
  <c r="A18" i="181"/>
  <c r="K17" i="181"/>
  <c r="I17" i="181"/>
  <c r="J17" i="181" s="1"/>
  <c r="H17" i="181"/>
  <c r="A17" i="181"/>
  <c r="K16" i="181"/>
  <c r="I16" i="181"/>
  <c r="J16" i="181" s="1"/>
  <c r="H16" i="181"/>
  <c r="A16" i="181"/>
  <c r="I15" i="181"/>
  <c r="J15" i="181" s="1"/>
  <c r="A15" i="181"/>
  <c r="K14" i="181"/>
  <c r="I14" i="181"/>
  <c r="J14" i="181" s="1"/>
  <c r="H14" i="181"/>
  <c r="A14" i="181"/>
  <c r="K13" i="181"/>
  <c r="I13" i="181"/>
  <c r="J13" i="181" s="1"/>
  <c r="H13" i="181"/>
  <c r="A13" i="181"/>
  <c r="K12" i="181"/>
  <c r="I12" i="181"/>
  <c r="J12" i="181" s="1"/>
  <c r="H12" i="181"/>
  <c r="A12" i="181"/>
  <c r="K10" i="181"/>
  <c r="I10" i="181"/>
  <c r="J10" i="181" s="1"/>
  <c r="H10" i="181"/>
  <c r="A10" i="181"/>
  <c r="K9" i="181"/>
  <c r="I9" i="181"/>
  <c r="J9" i="181" s="1"/>
  <c r="H9" i="181"/>
  <c r="A9" i="181"/>
  <c r="K8" i="181"/>
  <c r="I8" i="181"/>
  <c r="J8" i="181" s="1"/>
  <c r="H8" i="181"/>
  <c r="A8" i="181"/>
  <c r="K7" i="181"/>
  <c r="J7" i="181"/>
  <c r="I7" i="181"/>
  <c r="H7" i="181"/>
  <c r="A7" i="181"/>
  <c r="K6" i="181"/>
  <c r="I6" i="181"/>
  <c r="J6" i="181" s="1"/>
  <c r="H6" i="181"/>
  <c r="A6" i="181"/>
  <c r="A5" i="181"/>
  <c r="K3" i="181"/>
  <c r="J3" i="181"/>
  <c r="I3" i="181"/>
  <c r="H3" i="181"/>
  <c r="G3" i="181"/>
  <c r="F3" i="181"/>
  <c r="E3" i="181"/>
  <c r="D3" i="181"/>
  <c r="C3" i="181"/>
  <c r="D2" i="181"/>
  <c r="C2" i="181"/>
  <c r="B2" i="181"/>
  <c r="A2" i="181"/>
  <c r="A1" i="181"/>
  <c r="P66" i="317"/>
  <c r="O66" i="317"/>
  <c r="N66" i="317"/>
  <c r="M66" i="317"/>
  <c r="L66" i="317"/>
  <c r="K66" i="317"/>
  <c r="J66" i="317"/>
  <c r="I66" i="317"/>
  <c r="H66" i="317"/>
  <c r="G66" i="317"/>
  <c r="F66" i="317"/>
  <c r="E66" i="317"/>
  <c r="P65" i="317"/>
  <c r="O65" i="317"/>
  <c r="N65" i="317"/>
  <c r="L65" i="317"/>
  <c r="K65" i="317"/>
  <c r="J65" i="317"/>
  <c r="I65" i="317"/>
  <c r="H65" i="317"/>
  <c r="G65" i="317"/>
  <c r="F65" i="317"/>
  <c r="E65" i="317"/>
  <c r="A57" i="317"/>
  <c r="Q56" i="317"/>
  <c r="P56" i="317"/>
  <c r="O56" i="317"/>
  <c r="N56" i="317"/>
  <c r="M56" i="317"/>
  <c r="L56" i="317"/>
  <c r="K56" i="317"/>
  <c r="J56" i="317"/>
  <c r="I56" i="317"/>
  <c r="H56" i="317"/>
  <c r="G56" i="317"/>
  <c r="F56" i="317"/>
  <c r="E56" i="317"/>
  <c r="D56" i="317"/>
  <c r="C56" i="317"/>
  <c r="Q55" i="317"/>
  <c r="P55" i="317"/>
  <c r="O55" i="317"/>
  <c r="N55" i="317"/>
  <c r="M55" i="317"/>
  <c r="L55" i="317"/>
  <c r="K55" i="317"/>
  <c r="J55" i="317"/>
  <c r="I55" i="317"/>
  <c r="H55" i="317"/>
  <c r="G55" i="317"/>
  <c r="F55" i="317"/>
  <c r="E55" i="317"/>
  <c r="D55" i="317"/>
  <c r="Q54" i="317"/>
  <c r="P54" i="317"/>
  <c r="O54" i="317"/>
  <c r="N54" i="317"/>
  <c r="M54" i="317"/>
  <c r="L54" i="317"/>
  <c r="K54" i="317"/>
  <c r="J54" i="317"/>
  <c r="I54" i="317"/>
  <c r="H54" i="317"/>
  <c r="G54" i="317"/>
  <c r="F54" i="317"/>
  <c r="E54" i="317"/>
  <c r="D54" i="317"/>
  <c r="C54" i="317"/>
  <c r="B54" i="317"/>
  <c r="N53" i="317"/>
  <c r="Q52" i="317"/>
  <c r="P52" i="317"/>
  <c r="O52" i="317"/>
  <c r="N52" i="317"/>
  <c r="M52" i="317"/>
  <c r="L52" i="317"/>
  <c r="K52" i="317"/>
  <c r="J52" i="317"/>
  <c r="I52" i="317"/>
  <c r="H52" i="317"/>
  <c r="G52" i="317"/>
  <c r="F52" i="317"/>
  <c r="E52" i="317"/>
  <c r="D52" i="317"/>
  <c r="C52" i="317"/>
  <c r="B52" i="317"/>
  <c r="N51" i="317"/>
  <c r="N50" i="317"/>
  <c r="N49" i="317"/>
  <c r="N47" i="317"/>
  <c r="Q46" i="317"/>
  <c r="P46" i="317"/>
  <c r="N46" i="317"/>
  <c r="B46" i="317"/>
  <c r="N45" i="317"/>
  <c r="N44" i="317"/>
  <c r="N43" i="317"/>
  <c r="N42" i="317"/>
  <c r="N41" i="317"/>
  <c r="N40" i="317"/>
  <c r="N39" i="317"/>
  <c r="N38" i="317"/>
  <c r="N37" i="317"/>
  <c r="N36" i="317"/>
  <c r="N35" i="317"/>
  <c r="N34" i="317"/>
  <c r="Q33" i="317"/>
  <c r="P33" i="317"/>
  <c r="O33" i="317"/>
  <c r="N33" i="317"/>
  <c r="M33" i="317"/>
  <c r="L33" i="317"/>
  <c r="K33" i="317"/>
  <c r="J33" i="317"/>
  <c r="I33" i="317"/>
  <c r="H33" i="317"/>
  <c r="G33" i="317"/>
  <c r="F33" i="317"/>
  <c r="E33" i="317"/>
  <c r="D33" i="317"/>
  <c r="C33" i="317"/>
  <c r="N32" i="317"/>
  <c r="N31" i="317"/>
  <c r="N29" i="317"/>
  <c r="N28" i="317"/>
  <c r="N27" i="317"/>
  <c r="N26" i="317"/>
  <c r="N25" i="317"/>
  <c r="A25" i="317"/>
  <c r="N24" i="317"/>
  <c r="A24" i="317"/>
  <c r="N23" i="317"/>
  <c r="N22" i="317"/>
  <c r="Q21" i="317"/>
  <c r="P21" i="317"/>
  <c r="N21" i="317"/>
  <c r="N20" i="317"/>
  <c r="N19" i="317"/>
  <c r="N18" i="317"/>
  <c r="N17" i="317"/>
  <c r="N16" i="317"/>
  <c r="N15" i="317"/>
  <c r="N14" i="317"/>
  <c r="N13" i="317"/>
  <c r="N12" i="317"/>
  <c r="N10" i="317"/>
  <c r="N9" i="317"/>
  <c r="N8" i="317"/>
  <c r="N7" i="317"/>
  <c r="N6" i="317"/>
  <c r="Q3" i="317"/>
  <c r="P3" i="317"/>
  <c r="O3" i="317"/>
  <c r="O2" i="317"/>
  <c r="C2" i="317"/>
  <c r="B2" i="317"/>
  <c r="A2" i="317"/>
  <c r="A1" i="317"/>
  <c r="A107" i="318"/>
  <c r="K106" i="318"/>
  <c r="H106" i="318"/>
  <c r="E106" i="318"/>
  <c r="D106" i="318"/>
  <c r="C106" i="318"/>
  <c r="K105" i="318"/>
  <c r="E105" i="318"/>
  <c r="D105" i="318"/>
  <c r="K104" i="318"/>
  <c r="H104" i="318"/>
  <c r="E104" i="318"/>
  <c r="D104" i="318"/>
  <c r="C104" i="318"/>
  <c r="K102" i="318"/>
  <c r="J102" i="318"/>
  <c r="I102" i="318"/>
  <c r="H102" i="318"/>
  <c r="G102" i="318"/>
  <c r="F102" i="318"/>
  <c r="E102" i="318"/>
  <c r="D102" i="318"/>
  <c r="C102" i="318"/>
  <c r="K100" i="318"/>
  <c r="E100" i="318"/>
  <c r="D100" i="318"/>
  <c r="K99" i="318"/>
  <c r="J99" i="318"/>
  <c r="I99" i="318"/>
  <c r="H99" i="318"/>
  <c r="G99" i="318"/>
  <c r="F99" i="318"/>
  <c r="E99" i="318"/>
  <c r="D99" i="318"/>
  <c r="C99" i="318"/>
  <c r="J98" i="318"/>
  <c r="I98" i="318"/>
  <c r="J97" i="318"/>
  <c r="I97" i="318"/>
  <c r="J96" i="318"/>
  <c r="I96" i="318"/>
  <c r="J95" i="318"/>
  <c r="I95" i="318"/>
  <c r="J94" i="318"/>
  <c r="I94" i="318"/>
  <c r="J93" i="318"/>
  <c r="I93" i="318"/>
  <c r="J92" i="318"/>
  <c r="I92" i="318"/>
  <c r="J91" i="318"/>
  <c r="I91" i="318"/>
  <c r="J90" i="318"/>
  <c r="I90" i="318"/>
  <c r="J89" i="318"/>
  <c r="I89" i="318"/>
  <c r="J88" i="318"/>
  <c r="I88" i="318"/>
  <c r="J87" i="318"/>
  <c r="I87" i="318"/>
  <c r="K84" i="318"/>
  <c r="E84" i="318"/>
  <c r="D84" i="318"/>
  <c r="K83" i="318"/>
  <c r="J83" i="318"/>
  <c r="I83" i="318"/>
  <c r="H83" i="318"/>
  <c r="G83" i="318"/>
  <c r="F83" i="318"/>
  <c r="E83" i="318"/>
  <c r="D83" i="318"/>
  <c r="C83" i="318"/>
  <c r="J82" i="318"/>
  <c r="I82" i="318"/>
  <c r="J81" i="318"/>
  <c r="I81" i="318"/>
  <c r="J80" i="318"/>
  <c r="I80" i="318"/>
  <c r="J79" i="318"/>
  <c r="I79" i="318"/>
  <c r="J78" i="318"/>
  <c r="I78" i="318"/>
  <c r="J77" i="318"/>
  <c r="I77" i="318"/>
  <c r="J76" i="318"/>
  <c r="I76" i="318"/>
  <c r="J75" i="318"/>
  <c r="I75" i="318"/>
  <c r="J74" i="318"/>
  <c r="I74" i="318"/>
  <c r="J73" i="318"/>
  <c r="I73" i="318"/>
  <c r="J72" i="318"/>
  <c r="I72" i="318"/>
  <c r="J71" i="318"/>
  <c r="I71" i="318"/>
  <c r="K68" i="318"/>
  <c r="E68" i="318"/>
  <c r="D68" i="318"/>
  <c r="K67" i="318"/>
  <c r="J67" i="318"/>
  <c r="I67" i="318"/>
  <c r="H67" i="318"/>
  <c r="G67" i="318"/>
  <c r="F67" i="318"/>
  <c r="E67" i="318"/>
  <c r="D67" i="318"/>
  <c r="C67" i="318"/>
  <c r="J66" i="318"/>
  <c r="I66" i="318"/>
  <c r="J65" i="318"/>
  <c r="I65" i="318"/>
  <c r="J64" i="318"/>
  <c r="I64" i="318"/>
  <c r="J63" i="318"/>
  <c r="I63" i="318"/>
  <c r="J62" i="318"/>
  <c r="I62" i="318"/>
  <c r="J61" i="318"/>
  <c r="I61" i="318"/>
  <c r="J60" i="318"/>
  <c r="I60" i="318"/>
  <c r="J59" i="318"/>
  <c r="I59" i="318"/>
  <c r="J58" i="318"/>
  <c r="I58" i="318"/>
  <c r="J57" i="318"/>
  <c r="I57" i="318"/>
  <c r="J56" i="318"/>
  <c r="I56" i="318"/>
  <c r="J55" i="318"/>
  <c r="I55" i="318"/>
  <c r="J54" i="318"/>
  <c r="I54" i="318"/>
  <c r="K50" i="318"/>
  <c r="E50" i="318"/>
  <c r="D50" i="318"/>
  <c r="K49" i="318"/>
  <c r="H49" i="318"/>
  <c r="E49" i="318"/>
  <c r="D49" i="318"/>
  <c r="C49" i="318"/>
  <c r="K47" i="318"/>
  <c r="E47" i="318"/>
  <c r="D47" i="318"/>
  <c r="K46" i="318"/>
  <c r="H46" i="318"/>
  <c r="G46" i="318"/>
  <c r="I46" i="318" s="1"/>
  <c r="J46" i="318" s="1"/>
  <c r="F46" i="318"/>
  <c r="E46" i="318"/>
  <c r="D46" i="318"/>
  <c r="C46" i="318"/>
  <c r="J45" i="318"/>
  <c r="I45" i="318"/>
  <c r="K44" i="318"/>
  <c r="I44" i="318"/>
  <c r="J44" i="318" s="1"/>
  <c r="H44" i="318"/>
  <c r="J43" i="318"/>
  <c r="I43" i="318"/>
  <c r="K42" i="318"/>
  <c r="J42" i="318"/>
  <c r="I42" i="318"/>
  <c r="H42" i="318"/>
  <c r="K41" i="318"/>
  <c r="J41" i="318"/>
  <c r="I41" i="318"/>
  <c r="H41" i="318"/>
  <c r="K40" i="318"/>
  <c r="J40" i="318"/>
  <c r="I40" i="318"/>
  <c r="H40" i="318"/>
  <c r="K39" i="318"/>
  <c r="J39" i="318"/>
  <c r="I39" i="318"/>
  <c r="H39" i="318"/>
  <c r="K38" i="318"/>
  <c r="J38" i="318"/>
  <c r="I38" i="318"/>
  <c r="H38" i="318"/>
  <c r="K37" i="318"/>
  <c r="J37" i="318"/>
  <c r="I37" i="318"/>
  <c r="H37" i="318"/>
  <c r="K36" i="318"/>
  <c r="J36" i="318"/>
  <c r="I36" i="318"/>
  <c r="H36" i="318"/>
  <c r="K35" i="318"/>
  <c r="I35" i="318"/>
  <c r="J35" i="318" s="1"/>
  <c r="H35" i="318"/>
  <c r="K34" i="318"/>
  <c r="I34" i="318"/>
  <c r="J34" i="318" s="1"/>
  <c r="H34" i="318"/>
  <c r="K31" i="318"/>
  <c r="E31" i="318"/>
  <c r="D31" i="318"/>
  <c r="K30" i="318"/>
  <c r="H30" i="318"/>
  <c r="G30" i="318"/>
  <c r="F30" i="318"/>
  <c r="E30" i="318"/>
  <c r="D30" i="318"/>
  <c r="C30" i="318"/>
  <c r="J29" i="318"/>
  <c r="I29" i="318"/>
  <c r="J28" i="318"/>
  <c r="I28" i="318"/>
  <c r="J27" i="318"/>
  <c r="I27" i="318"/>
  <c r="J26" i="318"/>
  <c r="I26" i="318"/>
  <c r="K25" i="318"/>
  <c r="I25" i="318"/>
  <c r="J25" i="318" s="1"/>
  <c r="H25" i="318"/>
  <c r="K24" i="318"/>
  <c r="I24" i="318"/>
  <c r="J24" i="318" s="1"/>
  <c r="H24" i="318"/>
  <c r="K23" i="318"/>
  <c r="I23" i="318"/>
  <c r="J23" i="318" s="1"/>
  <c r="H23" i="318"/>
  <c r="K22" i="318"/>
  <c r="I22" i="318"/>
  <c r="J22" i="318" s="1"/>
  <c r="H22" i="318"/>
  <c r="J21" i="318"/>
  <c r="I21" i="318"/>
  <c r="K20" i="318"/>
  <c r="I20" i="318"/>
  <c r="J20" i="318" s="1"/>
  <c r="H20" i="318"/>
  <c r="K19" i="318"/>
  <c r="I19" i="318"/>
  <c r="J19" i="318" s="1"/>
  <c r="H19" i="318"/>
  <c r="K18" i="318"/>
  <c r="I18" i="318"/>
  <c r="J18" i="318" s="1"/>
  <c r="H18" i="318"/>
  <c r="K15" i="318"/>
  <c r="E15" i="318"/>
  <c r="D15" i="318"/>
  <c r="K14" i="318"/>
  <c r="H14" i="318"/>
  <c r="G14" i="318"/>
  <c r="I14" i="318" s="1"/>
  <c r="J14" i="318" s="1"/>
  <c r="F14" i="318"/>
  <c r="E14" i="318"/>
  <c r="D14" i="318"/>
  <c r="C14" i="318"/>
  <c r="I13" i="318"/>
  <c r="J13" i="318" s="1"/>
  <c r="K12" i="318"/>
  <c r="I12" i="318"/>
  <c r="J12" i="318" s="1"/>
  <c r="H12" i="318"/>
  <c r="K11" i="318"/>
  <c r="J11" i="318"/>
  <c r="I11" i="318"/>
  <c r="H11" i="318"/>
  <c r="K10" i="318"/>
  <c r="I10" i="318"/>
  <c r="J10" i="318" s="1"/>
  <c r="H10" i="318"/>
  <c r="K9" i="318"/>
  <c r="J9" i="318"/>
  <c r="I9" i="318"/>
  <c r="H9" i="318"/>
  <c r="K8" i="318"/>
  <c r="I8" i="318"/>
  <c r="J8" i="318" s="1"/>
  <c r="H8" i="318"/>
  <c r="K7" i="318"/>
  <c r="I7" i="318"/>
  <c r="J7" i="318" s="1"/>
  <c r="H7" i="318"/>
  <c r="K3" i="318"/>
  <c r="J3" i="318"/>
  <c r="I3" i="318"/>
  <c r="H3" i="318"/>
  <c r="G3" i="318"/>
  <c r="F3" i="318"/>
  <c r="E3" i="318"/>
  <c r="D3" i="318"/>
  <c r="C3" i="318"/>
  <c r="D2" i="318"/>
  <c r="C2" i="318"/>
  <c r="B2" i="318"/>
  <c r="A1" i="318"/>
  <c r="A50" i="334"/>
  <c r="G49" i="334"/>
  <c r="F49" i="334"/>
  <c r="E49" i="334"/>
  <c r="D49" i="334"/>
  <c r="C49" i="334"/>
  <c r="G47" i="334"/>
  <c r="F47" i="334"/>
  <c r="E47" i="334"/>
  <c r="D47" i="334"/>
  <c r="C47" i="334"/>
  <c r="G46" i="334"/>
  <c r="F46" i="334"/>
  <c r="A46" i="334"/>
  <c r="G45" i="334"/>
  <c r="F45" i="334"/>
  <c r="G44" i="334"/>
  <c r="F44" i="334"/>
  <c r="E44" i="334"/>
  <c r="D44" i="334"/>
  <c r="C44" i="334"/>
  <c r="A44" i="334"/>
  <c r="G43" i="334"/>
  <c r="F43" i="334"/>
  <c r="A43" i="334"/>
  <c r="G42" i="334"/>
  <c r="F42" i="334"/>
  <c r="G41" i="334"/>
  <c r="F41" i="334"/>
  <c r="E41" i="334"/>
  <c r="D41" i="334"/>
  <c r="C41" i="334"/>
  <c r="A41" i="334"/>
  <c r="G40" i="334"/>
  <c r="F40" i="334"/>
  <c r="A40" i="334"/>
  <c r="G39" i="334"/>
  <c r="F39" i="334"/>
  <c r="G38" i="334"/>
  <c r="F38" i="334"/>
  <c r="E38" i="334"/>
  <c r="D38" i="334"/>
  <c r="C38" i="334"/>
  <c r="A38" i="334"/>
  <c r="G37" i="334"/>
  <c r="F37" i="334"/>
  <c r="A37" i="334"/>
  <c r="G36" i="334"/>
  <c r="F36" i="334"/>
  <c r="G35" i="334"/>
  <c r="F35" i="334"/>
  <c r="G34" i="334"/>
  <c r="F34" i="334"/>
  <c r="G33" i="334"/>
  <c r="F33" i="334"/>
  <c r="G32" i="334"/>
  <c r="F32" i="334"/>
  <c r="A32" i="334"/>
  <c r="G31" i="334"/>
  <c r="F31" i="334"/>
  <c r="E31" i="334"/>
  <c r="D31" i="334"/>
  <c r="C31" i="334"/>
  <c r="A31" i="334"/>
  <c r="G30" i="334"/>
  <c r="G29" i="334"/>
  <c r="G28" i="334"/>
  <c r="F28" i="334"/>
  <c r="E28" i="334"/>
  <c r="D28" i="334"/>
  <c r="C28" i="334"/>
  <c r="G27" i="334"/>
  <c r="F27" i="334"/>
  <c r="A27" i="334"/>
  <c r="G26" i="334"/>
  <c r="F26" i="334"/>
  <c r="G25" i="334"/>
  <c r="F25" i="334"/>
  <c r="E25" i="334"/>
  <c r="D25" i="334"/>
  <c r="C25" i="334"/>
  <c r="A25" i="334"/>
  <c r="G24" i="334"/>
  <c r="F24" i="334"/>
  <c r="A24" i="334"/>
  <c r="G23" i="334"/>
  <c r="F23" i="334"/>
  <c r="G22" i="334"/>
  <c r="F22" i="334"/>
  <c r="E22" i="334"/>
  <c r="D22" i="334"/>
  <c r="C22" i="334"/>
  <c r="A22" i="334"/>
  <c r="G21" i="334"/>
  <c r="F21" i="334"/>
  <c r="A21" i="334"/>
  <c r="G20" i="334"/>
  <c r="F20" i="334"/>
  <c r="A20" i="334"/>
  <c r="G19" i="334"/>
  <c r="F19" i="334"/>
  <c r="A19" i="334"/>
  <c r="G18" i="334"/>
  <c r="F18" i="334"/>
  <c r="A18" i="334"/>
  <c r="G17" i="334"/>
  <c r="F17" i="334"/>
  <c r="A17" i="334"/>
  <c r="G16" i="334"/>
  <c r="F16" i="334"/>
  <c r="E16" i="334"/>
  <c r="D16" i="334"/>
  <c r="C16" i="334"/>
  <c r="A16" i="334"/>
  <c r="G15" i="334"/>
  <c r="F15" i="334"/>
  <c r="A15" i="334"/>
  <c r="G14" i="334"/>
  <c r="F14" i="334"/>
  <c r="G13" i="334"/>
  <c r="F13" i="334"/>
  <c r="G12" i="334"/>
  <c r="F12" i="334"/>
  <c r="A12" i="334"/>
  <c r="G11" i="334"/>
  <c r="F11" i="334"/>
  <c r="A11" i="334"/>
  <c r="G10" i="334"/>
  <c r="F10" i="334"/>
  <c r="A10" i="334"/>
  <c r="G9" i="334"/>
  <c r="F9" i="334"/>
  <c r="A9" i="334"/>
  <c r="G8" i="334"/>
  <c r="F8" i="334"/>
  <c r="E8" i="334"/>
  <c r="D8" i="334"/>
  <c r="C8" i="334"/>
  <c r="A8" i="334"/>
  <c r="G3" i="334"/>
  <c r="F3" i="334"/>
  <c r="E3" i="334"/>
  <c r="D3" i="334"/>
  <c r="C3" i="334"/>
  <c r="C2" i="334"/>
  <c r="B2" i="334"/>
  <c r="A2" i="334"/>
  <c r="A1" i="334"/>
  <c r="A65" i="269"/>
  <c r="K64" i="269"/>
  <c r="H64" i="269"/>
  <c r="E64" i="269"/>
  <c r="D64" i="269"/>
  <c r="C64" i="269"/>
  <c r="K62" i="269"/>
  <c r="H62" i="269"/>
  <c r="E62" i="269"/>
  <c r="D62" i="269"/>
  <c r="C62" i="269"/>
  <c r="J61" i="269"/>
  <c r="I61" i="269"/>
  <c r="K60" i="269"/>
  <c r="J60" i="269"/>
  <c r="I60" i="269"/>
  <c r="H60" i="269"/>
  <c r="G60" i="269"/>
  <c r="F60" i="269"/>
  <c r="E60" i="269"/>
  <c r="D60" i="269"/>
  <c r="C60" i="269"/>
  <c r="A60" i="269"/>
  <c r="J59" i="269"/>
  <c r="I59" i="269"/>
  <c r="K58" i="269"/>
  <c r="J58" i="269"/>
  <c r="I58" i="269"/>
  <c r="H58" i="269"/>
  <c r="G58" i="269"/>
  <c r="F58" i="269"/>
  <c r="E58" i="269"/>
  <c r="D58" i="269"/>
  <c r="C58" i="269"/>
  <c r="A58" i="269"/>
  <c r="K57" i="269"/>
  <c r="J57" i="269"/>
  <c r="I57" i="269"/>
  <c r="H57" i="269"/>
  <c r="K55" i="269"/>
  <c r="H55" i="269"/>
  <c r="K54" i="269"/>
  <c r="H54" i="269"/>
  <c r="K52" i="269"/>
  <c r="H52" i="269"/>
  <c r="K51" i="269"/>
  <c r="H51" i="269"/>
  <c r="K50" i="269"/>
  <c r="H50" i="269"/>
  <c r="J46" i="269"/>
  <c r="I46" i="269"/>
  <c r="K45" i="269"/>
  <c r="J45" i="269"/>
  <c r="I45" i="269"/>
  <c r="H45" i="269"/>
  <c r="G45" i="269"/>
  <c r="F45" i="269"/>
  <c r="E45" i="269"/>
  <c r="D45" i="269"/>
  <c r="C45" i="269"/>
  <c r="A45" i="269"/>
  <c r="J44" i="269"/>
  <c r="I44" i="269"/>
  <c r="K43" i="269"/>
  <c r="I43" i="269"/>
  <c r="J43" i="269" s="1"/>
  <c r="H43" i="269"/>
  <c r="J42" i="269"/>
  <c r="I42" i="269"/>
  <c r="J41" i="269"/>
  <c r="I41" i="269"/>
  <c r="J40" i="269"/>
  <c r="I40" i="269"/>
  <c r="K39" i="269"/>
  <c r="J39" i="269"/>
  <c r="I39" i="269"/>
  <c r="H39" i="269"/>
  <c r="J38" i="269"/>
  <c r="I38" i="269"/>
  <c r="K37" i="269"/>
  <c r="I37" i="269"/>
  <c r="I36" i="269" s="1"/>
  <c r="I62" i="269" s="1"/>
  <c r="J62" i="269" s="1"/>
  <c r="H37" i="269"/>
  <c r="K36" i="269"/>
  <c r="H36" i="269"/>
  <c r="G36" i="269"/>
  <c r="G62" i="269" s="1"/>
  <c r="F36" i="269"/>
  <c r="F62" i="269" s="1"/>
  <c r="E36" i="269"/>
  <c r="D36" i="269"/>
  <c r="C36" i="269"/>
  <c r="A36" i="269"/>
  <c r="K33" i="269"/>
  <c r="H33" i="269"/>
  <c r="E33" i="269"/>
  <c r="D33" i="269"/>
  <c r="C33" i="269"/>
  <c r="J32" i="269"/>
  <c r="I32" i="269"/>
  <c r="A32" i="269"/>
  <c r="K31" i="269"/>
  <c r="J31" i="269"/>
  <c r="I31" i="269"/>
  <c r="H31" i="269"/>
  <c r="G31" i="269"/>
  <c r="F31" i="269"/>
  <c r="E31" i="269"/>
  <c r="D31" i="269"/>
  <c r="C31" i="269"/>
  <c r="A31" i="269"/>
  <c r="J30" i="269"/>
  <c r="I30" i="269"/>
  <c r="A30" i="269"/>
  <c r="K29" i="269"/>
  <c r="J29" i="269"/>
  <c r="I29" i="269"/>
  <c r="H29" i="269"/>
  <c r="G29" i="269"/>
  <c r="F29" i="269"/>
  <c r="E29" i="269"/>
  <c r="D29" i="269"/>
  <c r="C29" i="269"/>
  <c r="A29" i="269"/>
  <c r="K28" i="269"/>
  <c r="J28" i="269"/>
  <c r="I28" i="269"/>
  <c r="H28" i="269"/>
  <c r="K27" i="269"/>
  <c r="J27" i="269"/>
  <c r="I27" i="269"/>
  <c r="H27" i="269"/>
  <c r="K26" i="269"/>
  <c r="J26" i="269"/>
  <c r="I26" i="269"/>
  <c r="H26" i="269"/>
  <c r="I25" i="269"/>
  <c r="I17" i="269" s="1"/>
  <c r="J17" i="269" s="1"/>
  <c r="K24" i="269"/>
  <c r="J24" i="269"/>
  <c r="I24" i="269"/>
  <c r="H24" i="269"/>
  <c r="K23" i="269"/>
  <c r="J23" i="269"/>
  <c r="I23" i="269"/>
  <c r="H23" i="269"/>
  <c r="K22" i="269"/>
  <c r="J22" i="269"/>
  <c r="I22" i="269"/>
  <c r="H22" i="269"/>
  <c r="K21" i="269"/>
  <c r="J21" i="269"/>
  <c r="I21" i="269"/>
  <c r="H21" i="269"/>
  <c r="J20" i="269"/>
  <c r="I20" i="269"/>
  <c r="J19" i="269"/>
  <c r="I19" i="269"/>
  <c r="J18" i="269"/>
  <c r="I18" i="269"/>
  <c r="K17" i="269"/>
  <c r="H17" i="269"/>
  <c r="G17" i="269"/>
  <c r="F17" i="269"/>
  <c r="E17" i="269"/>
  <c r="D17" i="269"/>
  <c r="C17" i="269"/>
  <c r="A17" i="269"/>
  <c r="K16" i="269"/>
  <c r="I16" i="269"/>
  <c r="J16" i="269" s="1"/>
  <c r="H16" i="269"/>
  <c r="J15" i="269"/>
  <c r="I15" i="269"/>
  <c r="J14" i="269"/>
  <c r="I14" i="269"/>
  <c r="J13" i="269"/>
  <c r="I13" i="269"/>
  <c r="K12" i="269"/>
  <c r="I12" i="269"/>
  <c r="J12" i="269" s="1"/>
  <c r="H12" i="269"/>
  <c r="J11" i="269"/>
  <c r="I11" i="269"/>
  <c r="K10" i="269"/>
  <c r="J10" i="269"/>
  <c r="I10" i="269"/>
  <c r="H10" i="269"/>
  <c r="K9" i="269"/>
  <c r="J9" i="269"/>
  <c r="I9" i="269"/>
  <c r="H9" i="269"/>
  <c r="K8" i="269"/>
  <c r="H8" i="269"/>
  <c r="G8" i="269"/>
  <c r="F8" i="269"/>
  <c r="F33" i="269" s="1"/>
  <c r="E8" i="269"/>
  <c r="D8" i="269"/>
  <c r="C8" i="269"/>
  <c r="A8" i="269"/>
  <c r="K3" i="269"/>
  <c r="J3" i="269"/>
  <c r="I3" i="269"/>
  <c r="H3" i="269"/>
  <c r="G3" i="269"/>
  <c r="F3" i="269"/>
  <c r="E3" i="269"/>
  <c r="D3" i="269"/>
  <c r="C3" i="269"/>
  <c r="D2" i="269"/>
  <c r="C2" i="269"/>
  <c r="B2" i="269"/>
  <c r="A2" i="269"/>
  <c r="A1" i="269"/>
  <c r="A64" i="270"/>
  <c r="K63" i="270"/>
  <c r="H63" i="270"/>
  <c r="E63" i="270"/>
  <c r="D63" i="270"/>
  <c r="C63" i="270"/>
  <c r="K61" i="270"/>
  <c r="J61" i="270"/>
  <c r="I61" i="270"/>
  <c r="H61" i="270"/>
  <c r="G61" i="270"/>
  <c r="F61" i="270"/>
  <c r="E61" i="270"/>
  <c r="D61" i="270"/>
  <c r="C61" i="270"/>
  <c r="J60" i="270"/>
  <c r="I60" i="270"/>
  <c r="K59" i="270"/>
  <c r="J59" i="270"/>
  <c r="I59" i="270"/>
  <c r="H59" i="270"/>
  <c r="G59" i="270"/>
  <c r="F59" i="270"/>
  <c r="E59" i="270"/>
  <c r="D59" i="270"/>
  <c r="C59" i="270"/>
  <c r="A59" i="270"/>
  <c r="J58" i="270"/>
  <c r="I58" i="270"/>
  <c r="K57" i="270"/>
  <c r="J57" i="270"/>
  <c r="I57" i="270"/>
  <c r="H57" i="270"/>
  <c r="G57" i="270"/>
  <c r="F57" i="270"/>
  <c r="E57" i="270"/>
  <c r="D57" i="270"/>
  <c r="C57" i="270"/>
  <c r="A57" i="270"/>
  <c r="K56" i="270"/>
  <c r="J56" i="270"/>
  <c r="I56" i="270"/>
  <c r="H56" i="270"/>
  <c r="J55" i="270"/>
  <c r="I55" i="270"/>
  <c r="K54" i="270"/>
  <c r="J54" i="270"/>
  <c r="I54" i="270"/>
  <c r="H54" i="270"/>
  <c r="K53" i="270"/>
  <c r="J53" i="270"/>
  <c r="I53" i="270"/>
  <c r="H53" i="270"/>
  <c r="J52" i="270"/>
  <c r="I52" i="270"/>
  <c r="K51" i="270"/>
  <c r="J51" i="270"/>
  <c r="I51" i="270"/>
  <c r="H51" i="270"/>
  <c r="K50" i="270"/>
  <c r="J50" i="270"/>
  <c r="I50" i="270"/>
  <c r="H50" i="270"/>
  <c r="K49" i="270"/>
  <c r="J49" i="270"/>
  <c r="I49" i="270"/>
  <c r="H49" i="270"/>
  <c r="J48" i="270"/>
  <c r="I48" i="270"/>
  <c r="J47" i="270"/>
  <c r="I47" i="270"/>
  <c r="J46" i="270"/>
  <c r="I46" i="270"/>
  <c r="K45" i="270"/>
  <c r="J45" i="270"/>
  <c r="I45" i="270"/>
  <c r="H45" i="270"/>
  <c r="G45" i="270"/>
  <c r="F45" i="270"/>
  <c r="E45" i="270"/>
  <c r="D45" i="270"/>
  <c r="C45" i="270"/>
  <c r="A45" i="270"/>
  <c r="J44" i="270"/>
  <c r="I44" i="270"/>
  <c r="K43" i="270"/>
  <c r="J43" i="270"/>
  <c r="I43" i="270"/>
  <c r="H43" i="270"/>
  <c r="J42" i="270"/>
  <c r="I42" i="270"/>
  <c r="J41" i="270"/>
  <c r="I41" i="270"/>
  <c r="J40" i="270"/>
  <c r="I40" i="270"/>
  <c r="K39" i="270"/>
  <c r="J39" i="270"/>
  <c r="I39" i="270"/>
  <c r="H39" i="270"/>
  <c r="J38" i="270"/>
  <c r="I38" i="270"/>
  <c r="K37" i="270"/>
  <c r="J37" i="270"/>
  <c r="I37" i="270"/>
  <c r="H37" i="270"/>
  <c r="K36" i="270"/>
  <c r="J36" i="270"/>
  <c r="I36" i="270"/>
  <c r="H36" i="270"/>
  <c r="G36" i="270"/>
  <c r="F36" i="270"/>
  <c r="E36" i="270"/>
  <c r="D36" i="270"/>
  <c r="C36" i="270"/>
  <c r="A36" i="270"/>
  <c r="K33" i="270"/>
  <c r="H33" i="270"/>
  <c r="E33" i="270"/>
  <c r="D33" i="270"/>
  <c r="C33" i="270"/>
  <c r="J32" i="270"/>
  <c r="I32" i="270"/>
  <c r="K31" i="270"/>
  <c r="J31" i="270"/>
  <c r="I31" i="270"/>
  <c r="H31" i="270"/>
  <c r="G31" i="270"/>
  <c r="F31" i="270"/>
  <c r="E31" i="270"/>
  <c r="D31" i="270"/>
  <c r="C31" i="270"/>
  <c r="J30" i="270"/>
  <c r="I30" i="270"/>
  <c r="K29" i="270"/>
  <c r="J29" i="270"/>
  <c r="I29" i="270"/>
  <c r="H29" i="270"/>
  <c r="G29" i="270"/>
  <c r="F29" i="270"/>
  <c r="E29" i="270"/>
  <c r="D29" i="270"/>
  <c r="C29" i="270"/>
  <c r="K28" i="270"/>
  <c r="J28" i="270"/>
  <c r="I28" i="270"/>
  <c r="H28" i="270"/>
  <c r="K27" i="270"/>
  <c r="J27" i="270"/>
  <c r="I27" i="270"/>
  <c r="H27" i="270"/>
  <c r="K26" i="270"/>
  <c r="J26" i="270"/>
  <c r="I26" i="270"/>
  <c r="H26" i="270"/>
  <c r="J25" i="270"/>
  <c r="I25" i="270"/>
  <c r="K24" i="270"/>
  <c r="J24" i="270"/>
  <c r="I24" i="270"/>
  <c r="H24" i="270"/>
  <c r="K23" i="270"/>
  <c r="J23" i="270"/>
  <c r="I23" i="270"/>
  <c r="H23" i="270"/>
  <c r="K22" i="270"/>
  <c r="J22" i="270"/>
  <c r="I22" i="270"/>
  <c r="H22" i="270"/>
  <c r="K21" i="270"/>
  <c r="J21" i="270"/>
  <c r="I21" i="270"/>
  <c r="H21" i="270"/>
  <c r="J20" i="270"/>
  <c r="I20" i="270"/>
  <c r="J19" i="270"/>
  <c r="I19" i="270"/>
  <c r="J18" i="270"/>
  <c r="I18" i="270"/>
  <c r="K17" i="270"/>
  <c r="J17" i="270"/>
  <c r="I17" i="270"/>
  <c r="H17" i="270"/>
  <c r="G17" i="270"/>
  <c r="F17" i="270"/>
  <c r="E17" i="270"/>
  <c r="D17" i="270"/>
  <c r="C17" i="270"/>
  <c r="K16" i="270"/>
  <c r="J16" i="270"/>
  <c r="I16" i="270"/>
  <c r="H16" i="270"/>
  <c r="J15" i="270"/>
  <c r="I15" i="270"/>
  <c r="J14" i="270"/>
  <c r="I14" i="270"/>
  <c r="J13" i="270"/>
  <c r="I13" i="270"/>
  <c r="K12" i="270"/>
  <c r="J12" i="270"/>
  <c r="I12" i="270"/>
  <c r="H12" i="270"/>
  <c r="J11" i="270"/>
  <c r="I11" i="270"/>
  <c r="K10" i="270"/>
  <c r="J10" i="270"/>
  <c r="I10" i="270"/>
  <c r="H10" i="270"/>
  <c r="K9" i="270"/>
  <c r="I9" i="270"/>
  <c r="J9" i="270" s="1"/>
  <c r="H9" i="270"/>
  <c r="K8" i="270"/>
  <c r="H8" i="270"/>
  <c r="G8" i="270"/>
  <c r="G33" i="270" s="1"/>
  <c r="G63" i="270" s="1"/>
  <c r="F8" i="270"/>
  <c r="F33" i="270" s="1"/>
  <c r="F63" i="270" s="1"/>
  <c r="E8" i="270"/>
  <c r="D8" i="270"/>
  <c r="C8" i="270"/>
  <c r="K3" i="270"/>
  <c r="J3" i="270"/>
  <c r="I3" i="270"/>
  <c r="H3" i="270"/>
  <c r="G3" i="270"/>
  <c r="F3" i="270"/>
  <c r="E3" i="270"/>
  <c r="D3" i="270"/>
  <c r="C3" i="270"/>
  <c r="D2" i="270"/>
  <c r="C2" i="270"/>
  <c r="B2" i="270"/>
  <c r="A2" i="270"/>
  <c r="A1" i="270"/>
  <c r="A25" i="238"/>
  <c r="O24" i="238"/>
  <c r="N24" i="238"/>
  <c r="M24" i="238"/>
  <c r="K24" i="238"/>
  <c r="O22" i="238"/>
  <c r="N22" i="238"/>
  <c r="M22" i="238"/>
  <c r="K22" i="238"/>
  <c r="O21" i="238"/>
  <c r="O20" i="238"/>
  <c r="O19" i="238"/>
  <c r="O18" i="238"/>
  <c r="O17" i="238"/>
  <c r="O16" i="238"/>
  <c r="O15" i="238"/>
  <c r="O12" i="238"/>
  <c r="N12" i="238"/>
  <c r="M12" i="238"/>
  <c r="K12" i="238"/>
  <c r="O11" i="238"/>
  <c r="O10" i="238"/>
  <c r="O9" i="238"/>
  <c r="O8" i="238"/>
  <c r="O7" i="238"/>
  <c r="O6" i="238"/>
  <c r="O5" i="238"/>
  <c r="A1" i="238"/>
  <c r="L15" i="173"/>
  <c r="K15" i="173"/>
  <c r="J52" i="267" s="1"/>
  <c r="J15" i="173"/>
  <c r="I15" i="173"/>
  <c r="H15" i="173"/>
  <c r="G15" i="173"/>
  <c r="F15" i="173"/>
  <c r="E15" i="173"/>
  <c r="D52" i="267" s="1"/>
  <c r="D15" i="173"/>
  <c r="C15" i="173"/>
  <c r="K14" i="173"/>
  <c r="J104" i="172" s="1"/>
  <c r="K13" i="173"/>
  <c r="I104" i="172" s="1"/>
  <c r="K12" i="173"/>
  <c r="H104" i="172" s="1"/>
  <c r="K11" i="173"/>
  <c r="G104" i="172" s="1"/>
  <c r="K10" i="173"/>
  <c r="F104" i="172" s="1"/>
  <c r="K9" i="173"/>
  <c r="K8" i="173"/>
  <c r="D104" i="172" s="1"/>
  <c r="K7" i="173"/>
  <c r="C104" i="172" s="1"/>
  <c r="K6" i="173"/>
  <c r="B104" i="172" s="1"/>
  <c r="C2" i="173"/>
  <c r="A2" i="173"/>
  <c r="A1" i="173"/>
  <c r="J27" i="175"/>
  <c r="D27" i="175"/>
  <c r="J26" i="175"/>
  <c r="D26" i="175"/>
  <c r="N21" i="175"/>
  <c r="M21" i="175"/>
  <c r="J21" i="175"/>
  <c r="I21" i="175"/>
  <c r="H21" i="175"/>
  <c r="G21" i="175"/>
  <c r="G26" i="175" s="1"/>
  <c r="G27" i="175" s="1"/>
  <c r="F21" i="175"/>
  <c r="F26" i="175" s="1"/>
  <c r="F27" i="175" s="1"/>
  <c r="E21" i="175"/>
  <c r="D21" i="175"/>
  <c r="C21" i="175"/>
  <c r="L20" i="175"/>
  <c r="K20" i="175"/>
  <c r="C81" i="172" s="1"/>
  <c r="B81" i="172" s="1"/>
  <c r="L19" i="175"/>
  <c r="K19" i="175"/>
  <c r="C80" i="172" s="1"/>
  <c r="B80" i="172" s="1"/>
  <c r="L18" i="175"/>
  <c r="K18" i="175"/>
  <c r="C79" i="172" s="1"/>
  <c r="B79" i="172" s="1"/>
  <c r="L17" i="175"/>
  <c r="L21" i="175" s="1"/>
  <c r="K17" i="175"/>
  <c r="C78" i="172" s="1"/>
  <c r="B78" i="172" s="1"/>
  <c r="L15" i="175"/>
  <c r="K15" i="175"/>
  <c r="A15" i="175"/>
  <c r="N14" i="175"/>
  <c r="M14" i="175"/>
  <c r="J14" i="175"/>
  <c r="I53" i="172" s="1"/>
  <c r="I14" i="175"/>
  <c r="H53" i="172" s="1"/>
  <c r="H14" i="175"/>
  <c r="G53" i="172" s="1"/>
  <c r="G14" i="175"/>
  <c r="F14" i="175"/>
  <c r="E50" i="267" s="1"/>
  <c r="E14" i="175"/>
  <c r="D53" i="172" s="1"/>
  <c r="D14" i="175"/>
  <c r="C53" i="172" s="1"/>
  <c r="C14" i="175"/>
  <c r="B53" i="172" s="1"/>
  <c r="L13" i="175"/>
  <c r="K13" i="175"/>
  <c r="L12" i="175"/>
  <c r="K12" i="175"/>
  <c r="L11" i="175"/>
  <c r="K11" i="175"/>
  <c r="L10" i="175"/>
  <c r="K10" i="175"/>
  <c r="L9" i="175"/>
  <c r="K9" i="175"/>
  <c r="L8" i="175"/>
  <c r="K8" i="175"/>
  <c r="L7" i="175"/>
  <c r="K7" i="175"/>
  <c r="L6" i="175"/>
  <c r="L14" i="175" s="1"/>
  <c r="K6" i="175"/>
  <c r="K14" i="175" s="1"/>
  <c r="L5" i="175"/>
  <c r="K5" i="175"/>
  <c r="C2" i="175"/>
  <c r="A2" i="175"/>
  <c r="A1" i="175"/>
  <c r="H63" i="174"/>
  <c r="G63" i="174"/>
  <c r="G18" i="174" s="1"/>
  <c r="F63" i="174"/>
  <c r="E63" i="174"/>
  <c r="D63" i="174"/>
  <c r="H61" i="174"/>
  <c r="G61" i="174"/>
  <c r="F61" i="174"/>
  <c r="E61" i="174"/>
  <c r="D61" i="174"/>
  <c r="G60" i="174"/>
  <c r="F60" i="174"/>
  <c r="E60" i="174"/>
  <c r="D60" i="174"/>
  <c r="H59" i="174"/>
  <c r="G59" i="174"/>
  <c r="F59" i="174"/>
  <c r="E59" i="174"/>
  <c r="D59" i="174"/>
  <c r="H58" i="174"/>
  <c r="G58" i="174"/>
  <c r="F58" i="174"/>
  <c r="E58" i="174"/>
  <c r="D58" i="174"/>
  <c r="H57" i="174"/>
  <c r="G57" i="174"/>
  <c r="F57" i="174"/>
  <c r="E57" i="174"/>
  <c r="D57" i="174"/>
  <c r="A57" i="174"/>
  <c r="H56" i="174"/>
  <c r="G56" i="174"/>
  <c r="F56" i="174"/>
  <c r="E56" i="174"/>
  <c r="D56" i="174"/>
  <c r="A56" i="174"/>
  <c r="H55" i="174"/>
  <c r="F55" i="174"/>
  <c r="E55" i="174"/>
  <c r="D55" i="174"/>
  <c r="A55" i="174"/>
  <c r="H54" i="174"/>
  <c r="G54" i="174"/>
  <c r="F54" i="174"/>
  <c r="E54" i="174"/>
  <c r="D54" i="174"/>
  <c r="H53" i="174"/>
  <c r="F53" i="174"/>
  <c r="E53" i="174"/>
  <c r="D53" i="174"/>
  <c r="A53" i="174"/>
  <c r="H52" i="174"/>
  <c r="F52" i="174"/>
  <c r="E52" i="174"/>
  <c r="D52" i="174"/>
  <c r="A52" i="174"/>
  <c r="H51" i="174"/>
  <c r="G51" i="174"/>
  <c r="F51" i="174"/>
  <c r="E51" i="174"/>
  <c r="D51" i="174"/>
  <c r="A51" i="174"/>
  <c r="H50" i="174"/>
  <c r="G50" i="174"/>
  <c r="G11" i="174" s="1"/>
  <c r="F50" i="174"/>
  <c r="E50" i="174"/>
  <c r="D50" i="174"/>
  <c r="A50" i="174"/>
  <c r="H49" i="174"/>
  <c r="F49" i="174"/>
  <c r="E49" i="174"/>
  <c r="D49" i="174"/>
  <c r="H48" i="174"/>
  <c r="G48" i="174"/>
  <c r="F48" i="174"/>
  <c r="E48" i="174"/>
  <c r="D48" i="174"/>
  <c r="H47" i="174"/>
  <c r="G47" i="174"/>
  <c r="F47" i="174"/>
  <c r="E47" i="174"/>
  <c r="D47" i="174"/>
  <c r="H46" i="174"/>
  <c r="F46" i="174"/>
  <c r="E46" i="174"/>
  <c r="D46" i="174"/>
  <c r="A46" i="174"/>
  <c r="H45" i="174"/>
  <c r="F45" i="174"/>
  <c r="E45" i="174"/>
  <c r="D45" i="174"/>
  <c r="H44" i="174"/>
  <c r="F44" i="174"/>
  <c r="E44" i="174"/>
  <c r="D44" i="174"/>
  <c r="H43" i="174"/>
  <c r="G43" i="174"/>
  <c r="F43" i="174"/>
  <c r="E43" i="174"/>
  <c r="D43" i="174"/>
  <c r="H42" i="174"/>
  <c r="G42" i="174"/>
  <c r="F42" i="174"/>
  <c r="E42" i="174"/>
  <c r="D42" i="174"/>
  <c r="A41" i="174"/>
  <c r="H40" i="174"/>
  <c r="G40" i="174"/>
  <c r="F40" i="174"/>
  <c r="E40" i="174"/>
  <c r="D40" i="174"/>
  <c r="A40" i="174"/>
  <c r="H39" i="174"/>
  <c r="F39" i="174"/>
  <c r="E39" i="174"/>
  <c r="D39" i="174"/>
  <c r="G38" i="174"/>
  <c r="F38" i="174"/>
  <c r="E38" i="174"/>
  <c r="D38" i="174"/>
  <c r="A38" i="174"/>
  <c r="H28" i="174"/>
  <c r="F28" i="174"/>
  <c r="E28" i="174"/>
  <c r="D28" i="174"/>
  <c r="H27" i="174"/>
  <c r="F27" i="174"/>
  <c r="E27" i="174"/>
  <c r="D27" i="174"/>
  <c r="H26" i="174"/>
  <c r="F26" i="174"/>
  <c r="E26" i="174"/>
  <c r="D26" i="174"/>
  <c r="H18" i="174"/>
  <c r="F18" i="174"/>
  <c r="E18" i="174"/>
  <c r="D18" i="174"/>
  <c r="H17" i="174"/>
  <c r="F17" i="174"/>
  <c r="E17" i="174"/>
  <c r="D17" i="174"/>
  <c r="H14" i="174"/>
  <c r="F14" i="174"/>
  <c r="E14" i="174"/>
  <c r="D14" i="174"/>
  <c r="H13" i="174"/>
  <c r="F13" i="174"/>
  <c r="E13" i="174"/>
  <c r="D13" i="174"/>
  <c r="H11" i="174"/>
  <c r="F11" i="174"/>
  <c r="E11" i="174"/>
  <c r="D11" i="174"/>
  <c r="H10" i="174"/>
  <c r="F10" i="174"/>
  <c r="E10" i="174"/>
  <c r="D10" i="174"/>
  <c r="H8" i="174"/>
  <c r="F8" i="174"/>
  <c r="E8" i="174"/>
  <c r="D8" i="174"/>
  <c r="H7" i="174"/>
  <c r="F7" i="174"/>
  <c r="E7" i="174"/>
  <c r="D7" i="174"/>
  <c r="H3" i="174"/>
  <c r="G3" i="174"/>
  <c r="F3" i="174"/>
  <c r="E3" i="174"/>
  <c r="D3" i="174"/>
  <c r="E2" i="174"/>
  <c r="D2" i="174"/>
  <c r="C2" i="174"/>
  <c r="A1" i="174"/>
  <c r="A51" i="251"/>
  <c r="B25" i="251"/>
  <c r="B16" i="251"/>
  <c r="B5" i="251"/>
  <c r="B2" i="251"/>
  <c r="A2" i="251"/>
  <c r="A1" i="251"/>
  <c r="K41" i="177"/>
  <c r="H41" i="177"/>
  <c r="E41" i="177"/>
  <c r="D41" i="177"/>
  <c r="C41" i="177"/>
  <c r="K40" i="177"/>
  <c r="H40" i="177"/>
  <c r="K39" i="177"/>
  <c r="H39" i="177"/>
  <c r="E39" i="177"/>
  <c r="D39" i="177"/>
  <c r="C39" i="177"/>
  <c r="K37" i="177"/>
  <c r="J37" i="177"/>
  <c r="I37" i="177"/>
  <c r="H37" i="177"/>
  <c r="G37" i="177"/>
  <c r="F37" i="177"/>
  <c r="E45" i="267" s="1"/>
  <c r="E37" i="177"/>
  <c r="D37" i="177"/>
  <c r="C37" i="177"/>
  <c r="K36" i="177"/>
  <c r="I36" i="177"/>
  <c r="J36" i="177" s="1"/>
  <c r="H36" i="177"/>
  <c r="J35" i="177"/>
  <c r="J34" i="177"/>
  <c r="I34" i="177"/>
  <c r="J33" i="177"/>
  <c r="I33" i="177"/>
  <c r="J32" i="177"/>
  <c r="I32" i="177"/>
  <c r="K28" i="177"/>
  <c r="I28" i="177"/>
  <c r="J28" i="177" s="1"/>
  <c r="H28" i="177"/>
  <c r="G28" i="177"/>
  <c r="F28" i="177"/>
  <c r="E44" i="267" s="1"/>
  <c r="E28" i="177"/>
  <c r="D28" i="177"/>
  <c r="C28" i="177"/>
  <c r="K27" i="177"/>
  <c r="I27" i="177"/>
  <c r="J27" i="177" s="1"/>
  <c r="H27" i="177"/>
  <c r="J25" i="177"/>
  <c r="I25" i="177"/>
  <c r="J24" i="177"/>
  <c r="I24" i="177"/>
  <c r="J22" i="177"/>
  <c r="I22" i="177"/>
  <c r="K18" i="177"/>
  <c r="I18" i="177"/>
  <c r="J18" i="177" s="1"/>
  <c r="H18" i="177"/>
  <c r="G18" i="177"/>
  <c r="G39" i="177" s="1"/>
  <c r="G41" i="177" s="1"/>
  <c r="F46" i="267" s="1"/>
  <c r="H46" i="267" s="1"/>
  <c r="I46" i="267" s="1"/>
  <c r="F18" i="177"/>
  <c r="E18" i="177"/>
  <c r="D18" i="177"/>
  <c r="C18" i="177"/>
  <c r="K17" i="177"/>
  <c r="I17" i="177"/>
  <c r="J17" i="177" s="1"/>
  <c r="H17" i="177"/>
  <c r="K16" i="177"/>
  <c r="J16" i="177"/>
  <c r="I16" i="177"/>
  <c r="H16" i="177"/>
  <c r="K15" i="177"/>
  <c r="J15" i="177"/>
  <c r="I15" i="177"/>
  <c r="H15" i="177"/>
  <c r="I13" i="177"/>
  <c r="J13" i="177" s="1"/>
  <c r="K12" i="177"/>
  <c r="J12" i="177"/>
  <c r="I12" i="177"/>
  <c r="H12" i="177"/>
  <c r="K11" i="177"/>
  <c r="J11" i="177"/>
  <c r="I11" i="177"/>
  <c r="H11" i="177"/>
  <c r="K10" i="177"/>
  <c r="J10" i="177"/>
  <c r="I10" i="177"/>
  <c r="H10" i="177"/>
  <c r="K9" i="177"/>
  <c r="J9" i="177"/>
  <c r="I9" i="177"/>
  <c r="H9" i="177"/>
  <c r="K8" i="177"/>
  <c r="J8" i="177"/>
  <c r="I8" i="177"/>
  <c r="H8" i="177"/>
  <c r="K7" i="177"/>
  <c r="J7" i="177"/>
  <c r="I7" i="177"/>
  <c r="H7" i="177"/>
  <c r="K3" i="177"/>
  <c r="J3" i="177"/>
  <c r="I3" i="177"/>
  <c r="H3" i="177"/>
  <c r="G3" i="177"/>
  <c r="F3" i="177"/>
  <c r="E3" i="177"/>
  <c r="D3" i="177"/>
  <c r="C3" i="177"/>
  <c r="D2" i="177"/>
  <c r="C2" i="177"/>
  <c r="B2" i="177"/>
  <c r="A2" i="177"/>
  <c r="A1" i="177"/>
  <c r="G54" i="178"/>
  <c r="E54" i="178"/>
  <c r="D54" i="178"/>
  <c r="C54" i="178"/>
  <c r="A49" i="178"/>
  <c r="G48" i="178"/>
  <c r="F48" i="178"/>
  <c r="E48" i="178"/>
  <c r="D48" i="178"/>
  <c r="C48" i="178"/>
  <c r="G47" i="178"/>
  <c r="G46" i="178"/>
  <c r="G43" i="178"/>
  <c r="E43" i="178"/>
  <c r="D43" i="178"/>
  <c r="C43" i="178"/>
  <c r="G41" i="178"/>
  <c r="E41" i="178"/>
  <c r="D41" i="178"/>
  <c r="C41" i="178"/>
  <c r="G40" i="178"/>
  <c r="F40" i="178"/>
  <c r="E40" i="178"/>
  <c r="D40" i="178"/>
  <c r="C40" i="178"/>
  <c r="G39" i="178"/>
  <c r="G38" i="178"/>
  <c r="G35" i="178"/>
  <c r="F35" i="178"/>
  <c r="G53" i="174" s="1"/>
  <c r="E35" i="178"/>
  <c r="D35" i="178"/>
  <c r="C35" i="178"/>
  <c r="G34" i="178"/>
  <c r="G33" i="178"/>
  <c r="G32" i="178"/>
  <c r="G31" i="178"/>
  <c r="G26" i="178"/>
  <c r="E26" i="178"/>
  <c r="D26" i="178"/>
  <c r="C26" i="178"/>
  <c r="G25" i="178"/>
  <c r="F25" i="178"/>
  <c r="E25" i="178"/>
  <c r="D25" i="178"/>
  <c r="C25" i="178"/>
  <c r="G24" i="178"/>
  <c r="G23" i="178"/>
  <c r="G22" i="178"/>
  <c r="G20" i="178"/>
  <c r="G19" i="178"/>
  <c r="G18" i="178"/>
  <c r="G13" i="178"/>
  <c r="F13" i="178"/>
  <c r="G52" i="174" s="1"/>
  <c r="E13" i="178"/>
  <c r="D13" i="178"/>
  <c r="C13" i="178"/>
  <c r="G12" i="178"/>
  <c r="G10" i="178"/>
  <c r="G9" i="178"/>
  <c r="G8" i="178"/>
  <c r="G7" i="178"/>
  <c r="G3" i="178"/>
  <c r="F3" i="178"/>
  <c r="E3" i="178"/>
  <c r="D3" i="178"/>
  <c r="C3" i="178"/>
  <c r="D2" i="178"/>
  <c r="C2" i="178"/>
  <c r="B2" i="178"/>
  <c r="A2" i="178"/>
  <c r="A1" i="178"/>
  <c r="A317" i="324"/>
  <c r="K316" i="324"/>
  <c r="H316" i="324"/>
  <c r="E316" i="324"/>
  <c r="D316" i="324"/>
  <c r="C316" i="324"/>
  <c r="W315" i="324"/>
  <c r="V315" i="324"/>
  <c r="U315" i="324"/>
  <c r="T315" i="324"/>
  <c r="S315" i="324"/>
  <c r="R315" i="324"/>
  <c r="Q315" i="324"/>
  <c r="P315" i="324"/>
  <c r="O315" i="324"/>
  <c r="N315" i="324"/>
  <c r="M315" i="324"/>
  <c r="L315" i="324"/>
  <c r="J315" i="324"/>
  <c r="I315" i="324"/>
  <c r="K314" i="324"/>
  <c r="H314" i="324"/>
  <c r="E314" i="324"/>
  <c r="D314" i="324"/>
  <c r="C314" i="324"/>
  <c r="W313" i="324"/>
  <c r="V313" i="324"/>
  <c r="U313" i="324"/>
  <c r="T313" i="324"/>
  <c r="S313" i="324"/>
  <c r="R313" i="324"/>
  <c r="Q313" i="324"/>
  <c r="P313" i="324"/>
  <c r="O313" i="324"/>
  <c r="N313" i="324"/>
  <c r="M313" i="324"/>
  <c r="L313" i="324"/>
  <c r="J313" i="324"/>
  <c r="I313" i="324"/>
  <c r="A313" i="324"/>
  <c r="J312" i="324"/>
  <c r="I312" i="324"/>
  <c r="A312" i="324"/>
  <c r="J311" i="324"/>
  <c r="I311" i="324"/>
  <c r="A311" i="324"/>
  <c r="J310" i="324"/>
  <c r="I310" i="324"/>
  <c r="A310" i="324"/>
  <c r="J309" i="324"/>
  <c r="I309" i="324"/>
  <c r="A309" i="324"/>
  <c r="J308" i="324"/>
  <c r="I308" i="324"/>
  <c r="A308" i="324"/>
  <c r="J307" i="324"/>
  <c r="I307" i="324"/>
  <c r="A307" i="324"/>
  <c r="J306" i="324"/>
  <c r="I306" i="324"/>
  <c r="A306" i="324"/>
  <c r="J305" i="324"/>
  <c r="I305" i="324"/>
  <c r="A305" i="324"/>
  <c r="J304" i="324"/>
  <c r="I304" i="324"/>
  <c r="A304" i="324"/>
  <c r="K303" i="324"/>
  <c r="J303" i="324"/>
  <c r="I303" i="324"/>
  <c r="H303" i="324"/>
  <c r="G303" i="324"/>
  <c r="F303" i="324"/>
  <c r="E303" i="324"/>
  <c r="D303" i="324"/>
  <c r="C303" i="324"/>
  <c r="A303" i="324"/>
  <c r="J302" i="324"/>
  <c r="I302" i="324"/>
  <c r="A302" i="324"/>
  <c r="J301" i="324"/>
  <c r="I301" i="324"/>
  <c r="A301" i="324"/>
  <c r="J300" i="324"/>
  <c r="I300" i="324"/>
  <c r="A300" i="324"/>
  <c r="J299" i="324"/>
  <c r="I299" i="324"/>
  <c r="A299" i="324"/>
  <c r="J298" i="324"/>
  <c r="I298" i="324"/>
  <c r="A298" i="324"/>
  <c r="J297" i="324"/>
  <c r="I297" i="324"/>
  <c r="A297" i="324"/>
  <c r="J296" i="324"/>
  <c r="I296" i="324"/>
  <c r="A296" i="324"/>
  <c r="J295" i="324"/>
  <c r="I295" i="324"/>
  <c r="A295" i="324"/>
  <c r="J294" i="324"/>
  <c r="I294" i="324"/>
  <c r="A294" i="324"/>
  <c r="J293" i="324"/>
  <c r="I293" i="324"/>
  <c r="A293" i="324"/>
  <c r="K292" i="324"/>
  <c r="J292" i="324"/>
  <c r="I292" i="324"/>
  <c r="H292" i="324"/>
  <c r="G292" i="324"/>
  <c r="F292" i="324"/>
  <c r="E292" i="324"/>
  <c r="D292" i="324"/>
  <c r="C292" i="324"/>
  <c r="A292" i="324"/>
  <c r="J291" i="324"/>
  <c r="I291" i="324"/>
  <c r="A291" i="324"/>
  <c r="J290" i="324"/>
  <c r="I290" i="324"/>
  <c r="A290" i="324"/>
  <c r="J289" i="324"/>
  <c r="I289" i="324"/>
  <c r="A289" i="324"/>
  <c r="J288" i="324"/>
  <c r="I288" i="324"/>
  <c r="A288" i="324"/>
  <c r="J287" i="324"/>
  <c r="I287" i="324"/>
  <c r="A287" i="324"/>
  <c r="J286" i="324"/>
  <c r="I286" i="324"/>
  <c r="A286" i="324"/>
  <c r="J285" i="324"/>
  <c r="I285" i="324"/>
  <c r="A285" i="324"/>
  <c r="J284" i="324"/>
  <c r="I284" i="324"/>
  <c r="A284" i="324"/>
  <c r="J283" i="324"/>
  <c r="I283" i="324"/>
  <c r="A283" i="324"/>
  <c r="J282" i="324"/>
  <c r="I282" i="324"/>
  <c r="A282" i="324"/>
  <c r="K281" i="324"/>
  <c r="J281" i="324"/>
  <c r="I281" i="324"/>
  <c r="H281" i="324"/>
  <c r="G281" i="324"/>
  <c r="F281" i="324"/>
  <c r="E281" i="324"/>
  <c r="D281" i="324"/>
  <c r="C281" i="324"/>
  <c r="A281" i="324"/>
  <c r="J280" i="324"/>
  <c r="I280" i="324"/>
  <c r="A280" i="324"/>
  <c r="J279" i="324"/>
  <c r="I279" i="324"/>
  <c r="A279" i="324"/>
  <c r="J278" i="324"/>
  <c r="I278" i="324"/>
  <c r="A278" i="324"/>
  <c r="J277" i="324"/>
  <c r="I277" i="324"/>
  <c r="A277" i="324"/>
  <c r="J276" i="324"/>
  <c r="I276" i="324"/>
  <c r="A276" i="324"/>
  <c r="J275" i="324"/>
  <c r="I275" i="324"/>
  <c r="A275" i="324"/>
  <c r="J274" i="324"/>
  <c r="I274" i="324"/>
  <c r="A274" i="324"/>
  <c r="J273" i="324"/>
  <c r="I273" i="324"/>
  <c r="A273" i="324"/>
  <c r="J272" i="324"/>
  <c r="I272" i="324"/>
  <c r="A272" i="324"/>
  <c r="J271" i="324"/>
  <c r="I271" i="324"/>
  <c r="A271" i="324"/>
  <c r="K270" i="324"/>
  <c r="J270" i="324"/>
  <c r="I270" i="324"/>
  <c r="H270" i="324"/>
  <c r="G270" i="324"/>
  <c r="F270" i="324"/>
  <c r="E270" i="324"/>
  <c r="D270" i="324"/>
  <c r="C270" i="324"/>
  <c r="A270" i="324"/>
  <c r="J269" i="324"/>
  <c r="I269" i="324"/>
  <c r="A269" i="324"/>
  <c r="J268" i="324"/>
  <c r="I268" i="324"/>
  <c r="A268" i="324"/>
  <c r="J267" i="324"/>
  <c r="I267" i="324"/>
  <c r="A267" i="324"/>
  <c r="J266" i="324"/>
  <c r="I266" i="324"/>
  <c r="A266" i="324"/>
  <c r="J265" i="324"/>
  <c r="I265" i="324"/>
  <c r="A265" i="324"/>
  <c r="J264" i="324"/>
  <c r="I264" i="324"/>
  <c r="A264" i="324"/>
  <c r="J263" i="324"/>
  <c r="I263" i="324"/>
  <c r="A263" i="324"/>
  <c r="J262" i="324"/>
  <c r="I262" i="324"/>
  <c r="A262" i="324"/>
  <c r="J261" i="324"/>
  <c r="I261" i="324"/>
  <c r="A261" i="324"/>
  <c r="J260" i="324"/>
  <c r="I260" i="324"/>
  <c r="A260" i="324"/>
  <c r="K259" i="324"/>
  <c r="J259" i="324"/>
  <c r="I259" i="324"/>
  <c r="H259" i="324"/>
  <c r="G259" i="324"/>
  <c r="F259" i="324"/>
  <c r="E259" i="324"/>
  <c r="D259" i="324"/>
  <c r="C259" i="324"/>
  <c r="A259" i="324"/>
  <c r="J258" i="324"/>
  <c r="I258" i="324"/>
  <c r="A258" i="324"/>
  <c r="J257" i="324"/>
  <c r="I257" i="324"/>
  <c r="A257" i="324"/>
  <c r="J256" i="324"/>
  <c r="I256" i="324"/>
  <c r="A256" i="324"/>
  <c r="J255" i="324"/>
  <c r="I255" i="324"/>
  <c r="A255" i="324"/>
  <c r="J254" i="324"/>
  <c r="I254" i="324"/>
  <c r="A254" i="324"/>
  <c r="J253" i="324"/>
  <c r="I253" i="324"/>
  <c r="A253" i="324"/>
  <c r="J252" i="324"/>
  <c r="I252" i="324"/>
  <c r="A252" i="324"/>
  <c r="J251" i="324"/>
  <c r="I251" i="324"/>
  <c r="A251" i="324"/>
  <c r="J250" i="324"/>
  <c r="I250" i="324"/>
  <c r="A250" i="324"/>
  <c r="J249" i="324"/>
  <c r="I249" i="324"/>
  <c r="A249" i="324"/>
  <c r="K248" i="324"/>
  <c r="J248" i="324"/>
  <c r="I248" i="324"/>
  <c r="H248" i="324"/>
  <c r="G248" i="324"/>
  <c r="F248" i="324"/>
  <c r="E248" i="324"/>
  <c r="D248" i="324"/>
  <c r="C248" i="324"/>
  <c r="A248" i="324"/>
  <c r="J247" i="324"/>
  <c r="I247" i="324"/>
  <c r="A247" i="324"/>
  <c r="J246" i="324"/>
  <c r="I246" i="324"/>
  <c r="A246" i="324"/>
  <c r="J245" i="324"/>
  <c r="I245" i="324"/>
  <c r="A245" i="324"/>
  <c r="J244" i="324"/>
  <c r="I244" i="324"/>
  <c r="A244" i="324"/>
  <c r="J243" i="324"/>
  <c r="I243" i="324"/>
  <c r="A243" i="324"/>
  <c r="J242" i="324"/>
  <c r="I242" i="324"/>
  <c r="A242" i="324"/>
  <c r="J241" i="324"/>
  <c r="I241" i="324"/>
  <c r="A241" i="324"/>
  <c r="J240" i="324"/>
  <c r="I240" i="324"/>
  <c r="A240" i="324"/>
  <c r="J239" i="324"/>
  <c r="I239" i="324"/>
  <c r="A239" i="324"/>
  <c r="J238" i="324"/>
  <c r="I238" i="324"/>
  <c r="A238" i="324"/>
  <c r="K237" i="324"/>
  <c r="J237" i="324"/>
  <c r="I237" i="324"/>
  <c r="H237" i="324"/>
  <c r="G237" i="324"/>
  <c r="F237" i="324"/>
  <c r="E237" i="324"/>
  <c r="D237" i="324"/>
  <c r="C237" i="324"/>
  <c r="A237" i="324"/>
  <c r="J236" i="324"/>
  <c r="I236" i="324"/>
  <c r="A236" i="324"/>
  <c r="J235" i="324"/>
  <c r="I235" i="324"/>
  <c r="A235" i="324"/>
  <c r="J234" i="324"/>
  <c r="I234" i="324"/>
  <c r="A234" i="324"/>
  <c r="J233" i="324"/>
  <c r="I233" i="324"/>
  <c r="A233" i="324"/>
  <c r="J232" i="324"/>
  <c r="I232" i="324"/>
  <c r="A232" i="324"/>
  <c r="J231" i="324"/>
  <c r="I231" i="324"/>
  <c r="A231" i="324"/>
  <c r="J230" i="324"/>
  <c r="I230" i="324"/>
  <c r="A230" i="324"/>
  <c r="J229" i="324"/>
  <c r="I229" i="324"/>
  <c r="A229" i="324"/>
  <c r="J228" i="324"/>
  <c r="I228" i="324"/>
  <c r="A228" i="324"/>
  <c r="J227" i="324"/>
  <c r="I227" i="324"/>
  <c r="A227" i="324"/>
  <c r="K226" i="324"/>
  <c r="J226" i="324"/>
  <c r="I226" i="324"/>
  <c r="H226" i="324"/>
  <c r="G226" i="324"/>
  <c r="F226" i="324"/>
  <c r="E226" i="324"/>
  <c r="D226" i="324"/>
  <c r="C226" i="324"/>
  <c r="A226" i="324"/>
  <c r="J225" i="324"/>
  <c r="I225" i="324"/>
  <c r="A225" i="324"/>
  <c r="J224" i="324"/>
  <c r="I224" i="324"/>
  <c r="A224" i="324"/>
  <c r="J223" i="324"/>
  <c r="I223" i="324"/>
  <c r="A223" i="324"/>
  <c r="J222" i="324"/>
  <c r="I222" i="324"/>
  <c r="A222" i="324"/>
  <c r="J221" i="324"/>
  <c r="I221" i="324"/>
  <c r="A221" i="324"/>
  <c r="J220" i="324"/>
  <c r="I220" i="324"/>
  <c r="A220" i="324"/>
  <c r="J219" i="324"/>
  <c r="I219" i="324"/>
  <c r="A219" i="324"/>
  <c r="J218" i="324"/>
  <c r="I218" i="324"/>
  <c r="A218" i="324"/>
  <c r="J217" i="324"/>
  <c r="I217" i="324"/>
  <c r="A217" i="324"/>
  <c r="J216" i="324"/>
  <c r="I216" i="324"/>
  <c r="A216" i="324"/>
  <c r="K215" i="324"/>
  <c r="J215" i="324"/>
  <c r="I215" i="324"/>
  <c r="H215" i="324"/>
  <c r="G215" i="324"/>
  <c r="F215" i="324"/>
  <c r="E215" i="324"/>
  <c r="D215" i="324"/>
  <c r="C215" i="324"/>
  <c r="A215" i="324"/>
  <c r="J214" i="324"/>
  <c r="I214" i="324"/>
  <c r="A214" i="324"/>
  <c r="J213" i="324"/>
  <c r="I213" i="324"/>
  <c r="A213" i="324"/>
  <c r="J212" i="324"/>
  <c r="I212" i="324"/>
  <c r="A212" i="324"/>
  <c r="J211" i="324"/>
  <c r="I211" i="324"/>
  <c r="A211" i="324"/>
  <c r="J210" i="324"/>
  <c r="I210" i="324"/>
  <c r="A210" i="324"/>
  <c r="J209" i="324"/>
  <c r="I209" i="324"/>
  <c r="A209" i="324"/>
  <c r="J208" i="324"/>
  <c r="I208" i="324"/>
  <c r="A208" i="324"/>
  <c r="K207" i="324"/>
  <c r="J207" i="324"/>
  <c r="I207" i="324"/>
  <c r="H207" i="324"/>
  <c r="A207" i="324"/>
  <c r="K206" i="324"/>
  <c r="J206" i="324"/>
  <c r="I206" i="324"/>
  <c r="H206" i="324"/>
  <c r="A206" i="324"/>
  <c r="K205" i="324"/>
  <c r="J205" i="324"/>
  <c r="I205" i="324"/>
  <c r="H205" i="324"/>
  <c r="A205" i="324"/>
  <c r="K204" i="324"/>
  <c r="I204" i="324"/>
  <c r="J204" i="324" s="1"/>
  <c r="H204" i="324"/>
  <c r="G204" i="324"/>
  <c r="F204" i="324"/>
  <c r="E204" i="324"/>
  <c r="D204" i="324"/>
  <c r="C204" i="324"/>
  <c r="A204" i="324"/>
  <c r="J203" i="324"/>
  <c r="I203" i="324"/>
  <c r="A203" i="324"/>
  <c r="J202" i="324"/>
  <c r="I202" i="324"/>
  <c r="A202" i="324"/>
  <c r="J201" i="324"/>
  <c r="I201" i="324"/>
  <c r="A201" i="324"/>
  <c r="J200" i="324"/>
  <c r="I200" i="324"/>
  <c r="A200" i="324"/>
  <c r="J199" i="324"/>
  <c r="I199" i="324"/>
  <c r="A199" i="324"/>
  <c r="J198" i="324"/>
  <c r="I198" i="324"/>
  <c r="A198" i="324"/>
  <c r="K197" i="324"/>
  <c r="I197" i="324"/>
  <c r="J197" i="324" s="1"/>
  <c r="H197" i="324"/>
  <c r="A197" i="324"/>
  <c r="K196" i="324"/>
  <c r="I196" i="324"/>
  <c r="J196" i="324" s="1"/>
  <c r="H196" i="324"/>
  <c r="A196" i="324"/>
  <c r="J195" i="324"/>
  <c r="I195" i="324"/>
  <c r="A195" i="324"/>
  <c r="K194" i="324"/>
  <c r="I194" i="324"/>
  <c r="J194" i="324" s="1"/>
  <c r="H194" i="324"/>
  <c r="A194" i="324"/>
  <c r="K193" i="324"/>
  <c r="H193" i="324"/>
  <c r="G193" i="324"/>
  <c r="I193" i="324" s="1"/>
  <c r="F193" i="324"/>
  <c r="E193" i="324"/>
  <c r="D193" i="324"/>
  <c r="C193" i="324"/>
  <c r="A193" i="324"/>
  <c r="J192" i="324"/>
  <c r="I192" i="324"/>
  <c r="A192" i="324"/>
  <c r="J191" i="324"/>
  <c r="I191" i="324"/>
  <c r="A191" i="324"/>
  <c r="J190" i="324"/>
  <c r="I190" i="324"/>
  <c r="A190" i="324"/>
  <c r="J189" i="324"/>
  <c r="I189" i="324"/>
  <c r="A189" i="324"/>
  <c r="J188" i="324"/>
  <c r="I188" i="324"/>
  <c r="A188" i="324"/>
  <c r="J187" i="324"/>
  <c r="I187" i="324"/>
  <c r="A187" i="324"/>
  <c r="J186" i="324"/>
  <c r="I186" i="324"/>
  <c r="A186" i="324"/>
  <c r="J185" i="324"/>
  <c r="I185" i="324"/>
  <c r="A185" i="324"/>
  <c r="J184" i="324"/>
  <c r="I184" i="324"/>
  <c r="A184" i="324"/>
  <c r="I183" i="324"/>
  <c r="J183" i="324" s="1"/>
  <c r="A183" i="324"/>
  <c r="K182" i="324"/>
  <c r="H182" i="324"/>
  <c r="G182" i="324"/>
  <c r="I182" i="324" s="1"/>
  <c r="F182" i="324"/>
  <c r="F27" i="268" s="1"/>
  <c r="E182" i="324"/>
  <c r="D182" i="324"/>
  <c r="C182" i="324"/>
  <c r="A182" i="324"/>
  <c r="J181" i="324"/>
  <c r="I181" i="324"/>
  <c r="A181" i="324"/>
  <c r="J180" i="324"/>
  <c r="I180" i="324"/>
  <c r="A180" i="324"/>
  <c r="J179" i="324"/>
  <c r="I179" i="324"/>
  <c r="A179" i="324"/>
  <c r="J178" i="324"/>
  <c r="I178" i="324"/>
  <c r="A178" i="324"/>
  <c r="J177" i="324"/>
  <c r="I177" i="324"/>
  <c r="A177" i="324"/>
  <c r="J176" i="324"/>
  <c r="I176" i="324"/>
  <c r="A176" i="324"/>
  <c r="K175" i="324"/>
  <c r="I175" i="324"/>
  <c r="J175" i="324" s="1"/>
  <c r="H175" i="324"/>
  <c r="A175" i="324"/>
  <c r="K174" i="324"/>
  <c r="J174" i="324"/>
  <c r="I174" i="324"/>
  <c r="H174" i="324"/>
  <c r="A174" i="324"/>
  <c r="I173" i="324"/>
  <c r="J173" i="324" s="1"/>
  <c r="A173" i="324"/>
  <c r="K172" i="324"/>
  <c r="J172" i="324"/>
  <c r="I172" i="324"/>
  <c r="H172" i="324"/>
  <c r="A172" i="324"/>
  <c r="K171" i="324"/>
  <c r="I171" i="324"/>
  <c r="J171" i="324" s="1"/>
  <c r="H171" i="324"/>
  <c r="G171" i="324"/>
  <c r="F171" i="324"/>
  <c r="E171" i="324"/>
  <c r="D171" i="324"/>
  <c r="C171" i="324"/>
  <c r="A171" i="324"/>
  <c r="J170" i="324"/>
  <c r="I170" i="324"/>
  <c r="A170" i="324"/>
  <c r="J169" i="324"/>
  <c r="I169" i="324"/>
  <c r="A169" i="324"/>
  <c r="J168" i="324"/>
  <c r="I168" i="324"/>
  <c r="A168" i="324"/>
  <c r="J167" i="324"/>
  <c r="I167" i="324"/>
  <c r="A167" i="324"/>
  <c r="J166" i="324"/>
  <c r="I166" i="324"/>
  <c r="A166" i="324"/>
  <c r="K165" i="324"/>
  <c r="J165" i="324"/>
  <c r="I165" i="324"/>
  <c r="H165" i="324"/>
  <c r="A165" i="324"/>
  <c r="J164" i="324"/>
  <c r="I164" i="324"/>
  <c r="A164" i="324"/>
  <c r="J163" i="324"/>
  <c r="I163" i="324"/>
  <c r="A163" i="324"/>
  <c r="K162" i="324"/>
  <c r="I162" i="324"/>
  <c r="J162" i="324" s="1"/>
  <c r="H162" i="324"/>
  <c r="A162" i="324"/>
  <c r="K161" i="324"/>
  <c r="J161" i="324"/>
  <c r="I161" i="324"/>
  <c r="H161" i="324"/>
  <c r="A161" i="324"/>
  <c r="K160" i="324"/>
  <c r="H160" i="324"/>
  <c r="G160" i="324"/>
  <c r="I160" i="324" s="1"/>
  <c r="F160" i="324"/>
  <c r="F25" i="268" s="1"/>
  <c r="E160" i="324"/>
  <c r="D160" i="324"/>
  <c r="C160" i="324"/>
  <c r="A160" i="324"/>
  <c r="J159" i="324"/>
  <c r="I159" i="324"/>
  <c r="A159" i="324"/>
  <c r="J158" i="324"/>
  <c r="I158" i="324"/>
  <c r="A158" i="324"/>
  <c r="J157" i="324"/>
  <c r="I157" i="324"/>
  <c r="A157" i="324"/>
  <c r="J156" i="324"/>
  <c r="I156" i="324"/>
  <c r="A156" i="324"/>
  <c r="J155" i="324"/>
  <c r="I155" i="324"/>
  <c r="A155" i="324"/>
  <c r="J154" i="324"/>
  <c r="I154" i="324"/>
  <c r="A154" i="324"/>
  <c r="J153" i="324"/>
  <c r="I153" i="324"/>
  <c r="A153" i="324"/>
  <c r="J152" i="324"/>
  <c r="I152" i="324"/>
  <c r="A152" i="324"/>
  <c r="J151" i="324"/>
  <c r="I151" i="324"/>
  <c r="A151" i="324"/>
  <c r="J150" i="324"/>
  <c r="I150" i="324"/>
  <c r="A150" i="324"/>
  <c r="K149" i="324"/>
  <c r="H149" i="324"/>
  <c r="G149" i="324"/>
  <c r="F149" i="324"/>
  <c r="E149" i="324"/>
  <c r="D149" i="324"/>
  <c r="C149" i="324"/>
  <c r="A149" i="324"/>
  <c r="J148" i="324"/>
  <c r="I148" i="324"/>
  <c r="J146" i="324"/>
  <c r="I146" i="324"/>
  <c r="K145" i="324"/>
  <c r="H145" i="324"/>
  <c r="E145" i="324"/>
  <c r="D145" i="324"/>
  <c r="C145" i="324"/>
  <c r="W144" i="324"/>
  <c r="V144" i="324"/>
  <c r="U144" i="324"/>
  <c r="T144" i="324"/>
  <c r="S144" i="324"/>
  <c r="R144" i="324"/>
  <c r="Q144" i="324"/>
  <c r="P144" i="324"/>
  <c r="O144" i="324"/>
  <c r="N144" i="324"/>
  <c r="M144" i="324"/>
  <c r="L144" i="324"/>
  <c r="J144" i="324"/>
  <c r="I144" i="324"/>
  <c r="A144" i="324"/>
  <c r="J143" i="324"/>
  <c r="I143" i="324"/>
  <c r="A143" i="324"/>
  <c r="J142" i="324"/>
  <c r="I142" i="324"/>
  <c r="A142" i="324"/>
  <c r="J141" i="324"/>
  <c r="I141" i="324"/>
  <c r="A141" i="324"/>
  <c r="J140" i="324"/>
  <c r="I140" i="324"/>
  <c r="A140" i="324"/>
  <c r="J139" i="324"/>
  <c r="I139" i="324"/>
  <c r="A139" i="324"/>
  <c r="J138" i="324"/>
  <c r="I138" i="324"/>
  <c r="A138" i="324"/>
  <c r="J137" i="324"/>
  <c r="I137" i="324"/>
  <c r="A137" i="324"/>
  <c r="J136" i="324"/>
  <c r="I136" i="324"/>
  <c r="A136" i="324"/>
  <c r="J135" i="324"/>
  <c r="I135" i="324"/>
  <c r="A135" i="324"/>
  <c r="K134" i="324"/>
  <c r="J134" i="324"/>
  <c r="I134" i="324"/>
  <c r="H134" i="324"/>
  <c r="G134" i="324"/>
  <c r="F134" i="324"/>
  <c r="E134" i="324"/>
  <c r="D134" i="324"/>
  <c r="C134" i="324"/>
  <c r="A134" i="324"/>
  <c r="J133" i="324"/>
  <c r="I133" i="324"/>
  <c r="A133" i="324"/>
  <c r="J132" i="324"/>
  <c r="I132" i="324"/>
  <c r="A132" i="324"/>
  <c r="J131" i="324"/>
  <c r="I131" i="324"/>
  <c r="A131" i="324"/>
  <c r="J130" i="324"/>
  <c r="I130" i="324"/>
  <c r="A130" i="324"/>
  <c r="J129" i="324"/>
  <c r="I129" i="324"/>
  <c r="A129" i="324"/>
  <c r="J128" i="324"/>
  <c r="I128" i="324"/>
  <c r="A128" i="324"/>
  <c r="J127" i="324"/>
  <c r="I127" i="324"/>
  <c r="A127" i="324"/>
  <c r="J126" i="324"/>
  <c r="I126" i="324"/>
  <c r="A126" i="324"/>
  <c r="J125" i="324"/>
  <c r="I125" i="324"/>
  <c r="A125" i="324"/>
  <c r="J124" i="324"/>
  <c r="I124" i="324"/>
  <c r="A124" i="324"/>
  <c r="K123" i="324"/>
  <c r="J123" i="324"/>
  <c r="I123" i="324"/>
  <c r="H123" i="324"/>
  <c r="G123" i="324"/>
  <c r="F123" i="324"/>
  <c r="E123" i="324"/>
  <c r="D123" i="324"/>
  <c r="C123" i="324"/>
  <c r="A123" i="324"/>
  <c r="J122" i="324"/>
  <c r="I122" i="324"/>
  <c r="A122" i="324"/>
  <c r="J121" i="324"/>
  <c r="I121" i="324"/>
  <c r="A121" i="324"/>
  <c r="J120" i="324"/>
  <c r="I120" i="324"/>
  <c r="A120" i="324"/>
  <c r="J119" i="324"/>
  <c r="I119" i="324"/>
  <c r="A119" i="324"/>
  <c r="J118" i="324"/>
  <c r="I118" i="324"/>
  <c r="A118" i="324"/>
  <c r="J117" i="324"/>
  <c r="I117" i="324"/>
  <c r="A117" i="324"/>
  <c r="J116" i="324"/>
  <c r="I116" i="324"/>
  <c r="A116" i="324"/>
  <c r="J115" i="324"/>
  <c r="I115" i="324"/>
  <c r="A115" i="324"/>
  <c r="J114" i="324"/>
  <c r="I114" i="324"/>
  <c r="A114" i="324"/>
  <c r="J113" i="324"/>
  <c r="I113" i="324"/>
  <c r="A113" i="324"/>
  <c r="K112" i="324"/>
  <c r="J112" i="324"/>
  <c r="I112" i="324"/>
  <c r="H112" i="324"/>
  <c r="G112" i="324"/>
  <c r="F112" i="324"/>
  <c r="E112" i="324"/>
  <c r="D112" i="324"/>
  <c r="C112" i="324"/>
  <c r="A112" i="324"/>
  <c r="J111" i="324"/>
  <c r="I111" i="324"/>
  <c r="A111" i="324"/>
  <c r="J110" i="324"/>
  <c r="I110" i="324"/>
  <c r="A110" i="324"/>
  <c r="J109" i="324"/>
  <c r="I109" i="324"/>
  <c r="A109" i="324"/>
  <c r="J108" i="324"/>
  <c r="I108" i="324"/>
  <c r="A108" i="324"/>
  <c r="J107" i="324"/>
  <c r="I107" i="324"/>
  <c r="A107" i="324"/>
  <c r="J106" i="324"/>
  <c r="I106" i="324"/>
  <c r="A106" i="324"/>
  <c r="J105" i="324"/>
  <c r="I105" i="324"/>
  <c r="A105" i="324"/>
  <c r="J104" i="324"/>
  <c r="I104" i="324"/>
  <c r="A104" i="324"/>
  <c r="J103" i="324"/>
  <c r="I103" i="324"/>
  <c r="A103" i="324"/>
  <c r="J102" i="324"/>
  <c r="I102" i="324"/>
  <c r="A102" i="324"/>
  <c r="K101" i="324"/>
  <c r="J101" i="324"/>
  <c r="I101" i="324"/>
  <c r="H101" i="324"/>
  <c r="G101" i="324"/>
  <c r="F101" i="324"/>
  <c r="E101" i="324"/>
  <c r="D101" i="324"/>
  <c r="C101" i="324"/>
  <c r="A101" i="324"/>
  <c r="J100" i="324"/>
  <c r="I100" i="324"/>
  <c r="A100" i="324"/>
  <c r="J99" i="324"/>
  <c r="I99" i="324"/>
  <c r="A99" i="324"/>
  <c r="J98" i="324"/>
  <c r="I98" i="324"/>
  <c r="A98" i="324"/>
  <c r="J97" i="324"/>
  <c r="I97" i="324"/>
  <c r="A97" i="324"/>
  <c r="J96" i="324"/>
  <c r="I96" i="324"/>
  <c r="A96" i="324"/>
  <c r="J95" i="324"/>
  <c r="I95" i="324"/>
  <c r="A95" i="324"/>
  <c r="J94" i="324"/>
  <c r="I94" i="324"/>
  <c r="A94" i="324"/>
  <c r="J93" i="324"/>
  <c r="I93" i="324"/>
  <c r="A93" i="324"/>
  <c r="J92" i="324"/>
  <c r="I92" i="324"/>
  <c r="A92" i="324"/>
  <c r="J91" i="324"/>
  <c r="I91" i="324"/>
  <c r="A91" i="324"/>
  <c r="K90" i="324"/>
  <c r="J90" i="324"/>
  <c r="I90" i="324"/>
  <c r="H90" i="324"/>
  <c r="G90" i="324"/>
  <c r="F90" i="324"/>
  <c r="E90" i="324"/>
  <c r="D90" i="324"/>
  <c r="C90" i="324"/>
  <c r="A90" i="324"/>
  <c r="J89" i="324"/>
  <c r="I89" i="324"/>
  <c r="A89" i="324"/>
  <c r="J88" i="324"/>
  <c r="I88" i="324"/>
  <c r="A88" i="324"/>
  <c r="J87" i="324"/>
  <c r="I87" i="324"/>
  <c r="A87" i="324"/>
  <c r="J86" i="324"/>
  <c r="I86" i="324"/>
  <c r="A86" i="324"/>
  <c r="J85" i="324"/>
  <c r="I85" i="324"/>
  <c r="A85" i="324"/>
  <c r="J84" i="324"/>
  <c r="I84" i="324"/>
  <c r="A84" i="324"/>
  <c r="J83" i="324"/>
  <c r="I83" i="324"/>
  <c r="A83" i="324"/>
  <c r="J82" i="324"/>
  <c r="I82" i="324"/>
  <c r="A82" i="324"/>
  <c r="J81" i="324"/>
  <c r="I81" i="324"/>
  <c r="A81" i="324"/>
  <c r="J80" i="324"/>
  <c r="I80" i="324"/>
  <c r="A80" i="324"/>
  <c r="K79" i="324"/>
  <c r="J79" i="324"/>
  <c r="I79" i="324"/>
  <c r="H79" i="324"/>
  <c r="G79" i="324"/>
  <c r="F79" i="324"/>
  <c r="E79" i="324"/>
  <c r="D79" i="324"/>
  <c r="C79" i="324"/>
  <c r="A79" i="324"/>
  <c r="J78" i="324"/>
  <c r="I78" i="324"/>
  <c r="A78" i="324"/>
  <c r="J77" i="324"/>
  <c r="I77" i="324"/>
  <c r="A77" i="324"/>
  <c r="J76" i="324"/>
  <c r="I76" i="324"/>
  <c r="A76" i="324"/>
  <c r="J75" i="324"/>
  <c r="I75" i="324"/>
  <c r="A75" i="324"/>
  <c r="J74" i="324"/>
  <c r="I74" i="324"/>
  <c r="A74" i="324"/>
  <c r="J73" i="324"/>
  <c r="I73" i="324"/>
  <c r="A73" i="324"/>
  <c r="J72" i="324"/>
  <c r="I72" i="324"/>
  <c r="A72" i="324"/>
  <c r="J71" i="324"/>
  <c r="I71" i="324"/>
  <c r="A71" i="324"/>
  <c r="J70" i="324"/>
  <c r="I70" i="324"/>
  <c r="A70" i="324"/>
  <c r="J69" i="324"/>
  <c r="I69" i="324"/>
  <c r="A69" i="324"/>
  <c r="K68" i="324"/>
  <c r="J68" i="324"/>
  <c r="I68" i="324"/>
  <c r="H68" i="324"/>
  <c r="G68" i="324"/>
  <c r="F68" i="324"/>
  <c r="E68" i="324"/>
  <c r="D68" i="324"/>
  <c r="C68" i="324"/>
  <c r="A68" i="324"/>
  <c r="J67" i="324"/>
  <c r="I67" i="324"/>
  <c r="A67" i="324"/>
  <c r="J66" i="324"/>
  <c r="I66" i="324"/>
  <c r="A66" i="324"/>
  <c r="J65" i="324"/>
  <c r="I65" i="324"/>
  <c r="A65" i="324"/>
  <c r="J64" i="324"/>
  <c r="I64" i="324"/>
  <c r="A64" i="324"/>
  <c r="J63" i="324"/>
  <c r="I63" i="324"/>
  <c r="A63" i="324"/>
  <c r="J62" i="324"/>
  <c r="I62" i="324"/>
  <c r="A62" i="324"/>
  <c r="J61" i="324"/>
  <c r="I61" i="324"/>
  <c r="A61" i="324"/>
  <c r="J60" i="324"/>
  <c r="I60" i="324"/>
  <c r="A60" i="324"/>
  <c r="J59" i="324"/>
  <c r="I59" i="324"/>
  <c r="A59" i="324"/>
  <c r="J58" i="324"/>
  <c r="I58" i="324"/>
  <c r="A58" i="324"/>
  <c r="K57" i="324"/>
  <c r="J57" i="324"/>
  <c r="I57" i="324"/>
  <c r="H57" i="324"/>
  <c r="G57" i="324"/>
  <c r="F57" i="324"/>
  <c r="E57" i="324"/>
  <c r="D57" i="324"/>
  <c r="C57" i="324"/>
  <c r="A57" i="324"/>
  <c r="J56" i="324"/>
  <c r="I56" i="324"/>
  <c r="A56" i="324"/>
  <c r="J55" i="324"/>
  <c r="I55" i="324"/>
  <c r="A55" i="324"/>
  <c r="J54" i="324"/>
  <c r="I54" i="324"/>
  <c r="A54" i="324"/>
  <c r="J53" i="324"/>
  <c r="I53" i="324"/>
  <c r="A53" i="324"/>
  <c r="J52" i="324"/>
  <c r="I52" i="324"/>
  <c r="A52" i="324"/>
  <c r="J51" i="324"/>
  <c r="I51" i="324"/>
  <c r="A51" i="324"/>
  <c r="J50" i="324"/>
  <c r="I50" i="324"/>
  <c r="A50" i="324"/>
  <c r="J49" i="324"/>
  <c r="I49" i="324"/>
  <c r="A49" i="324"/>
  <c r="J48" i="324"/>
  <c r="I48" i="324"/>
  <c r="A48" i="324"/>
  <c r="J47" i="324"/>
  <c r="I47" i="324"/>
  <c r="A47" i="324"/>
  <c r="K46" i="324"/>
  <c r="J46" i="324"/>
  <c r="I46" i="324"/>
  <c r="H46" i="324"/>
  <c r="G46" i="324"/>
  <c r="F46" i="324"/>
  <c r="E46" i="324"/>
  <c r="D46" i="324"/>
  <c r="C46" i="324"/>
  <c r="A46" i="324"/>
  <c r="J45" i="324"/>
  <c r="I45" i="324"/>
  <c r="A45" i="324"/>
  <c r="J44" i="324"/>
  <c r="I44" i="324"/>
  <c r="A44" i="324"/>
  <c r="J43" i="324"/>
  <c r="I43" i="324"/>
  <c r="A43" i="324"/>
  <c r="J42" i="324"/>
  <c r="I42" i="324"/>
  <c r="A42" i="324"/>
  <c r="J41" i="324"/>
  <c r="I41" i="324"/>
  <c r="A41" i="324"/>
  <c r="J40" i="324"/>
  <c r="I40" i="324"/>
  <c r="A40" i="324"/>
  <c r="J39" i="324"/>
  <c r="I39" i="324"/>
  <c r="A39" i="324"/>
  <c r="K38" i="324"/>
  <c r="I38" i="324"/>
  <c r="J38" i="324" s="1"/>
  <c r="H38" i="324"/>
  <c r="A38" i="324"/>
  <c r="K37" i="324"/>
  <c r="J37" i="324"/>
  <c r="I37" i="324"/>
  <c r="H37" i="324"/>
  <c r="A37" i="324"/>
  <c r="K36" i="324"/>
  <c r="J36" i="324"/>
  <c r="I36" i="324"/>
  <c r="H36" i="324"/>
  <c r="A36" i="324"/>
  <c r="K35" i="324"/>
  <c r="H35" i="324"/>
  <c r="G35" i="324"/>
  <c r="I35" i="324" s="1"/>
  <c r="J35" i="324" s="1"/>
  <c r="F35" i="324"/>
  <c r="E35" i="324"/>
  <c r="D35" i="324"/>
  <c r="C35" i="324"/>
  <c r="A35" i="324"/>
  <c r="J34" i="324"/>
  <c r="I34" i="324"/>
  <c r="A34" i="324"/>
  <c r="K33" i="324"/>
  <c r="I33" i="324"/>
  <c r="J33" i="324" s="1"/>
  <c r="H33" i="324"/>
  <c r="A33" i="324"/>
  <c r="K32" i="324"/>
  <c r="J32" i="324"/>
  <c r="I32" i="324"/>
  <c r="H32" i="324"/>
  <c r="A32" i="324"/>
  <c r="J31" i="324"/>
  <c r="I31" i="324"/>
  <c r="A31" i="324"/>
  <c r="J30" i="324"/>
  <c r="I30" i="324"/>
  <c r="A30" i="324"/>
  <c r="K29" i="324"/>
  <c r="I29" i="324"/>
  <c r="J29" i="324" s="1"/>
  <c r="H29" i="324"/>
  <c r="G29" i="324"/>
  <c r="F29" i="324"/>
  <c r="E29" i="324"/>
  <c r="D29" i="324"/>
  <c r="C29" i="324"/>
  <c r="A29" i="324"/>
  <c r="J28" i="324"/>
  <c r="I28" i="324"/>
  <c r="A28" i="324"/>
  <c r="J27" i="324"/>
  <c r="I27" i="324"/>
  <c r="A27" i="324"/>
  <c r="J26" i="324"/>
  <c r="I26" i="324"/>
  <c r="A26" i="324"/>
  <c r="J25" i="324"/>
  <c r="I25" i="324"/>
  <c r="A25" i="324"/>
  <c r="J24" i="324"/>
  <c r="I24" i="324"/>
  <c r="A24" i="324"/>
  <c r="K23" i="324"/>
  <c r="J23" i="324"/>
  <c r="I23" i="324"/>
  <c r="H23" i="324"/>
  <c r="G23" i="324"/>
  <c r="F23" i="324"/>
  <c r="E23" i="324"/>
  <c r="D23" i="324"/>
  <c r="C23" i="324"/>
  <c r="A23" i="324"/>
  <c r="K22" i="324"/>
  <c r="J22" i="324"/>
  <c r="I22" i="324"/>
  <c r="H22" i="324"/>
  <c r="A22" i="324"/>
  <c r="K21" i="324"/>
  <c r="J21" i="324"/>
  <c r="I21" i="324"/>
  <c r="H21" i="324"/>
  <c r="A21" i="324"/>
  <c r="J20" i="324"/>
  <c r="I20" i="324"/>
  <c r="A20" i="324"/>
  <c r="J19" i="324"/>
  <c r="I19" i="324"/>
  <c r="A19" i="324"/>
  <c r="K18" i="324"/>
  <c r="I18" i="324"/>
  <c r="J18" i="324" s="1"/>
  <c r="H18" i="324"/>
  <c r="G18" i="324"/>
  <c r="F18" i="324"/>
  <c r="F8" i="268" s="1"/>
  <c r="E18" i="324"/>
  <c r="D18" i="324"/>
  <c r="C18" i="324"/>
  <c r="A18" i="324"/>
  <c r="J17" i="324"/>
  <c r="I17" i="324"/>
  <c r="A17" i="324"/>
  <c r="J16" i="324"/>
  <c r="I16" i="324"/>
  <c r="A16" i="324"/>
  <c r="J15" i="324"/>
  <c r="I15" i="324"/>
  <c r="A15" i="324"/>
  <c r="K14" i="324"/>
  <c r="I14" i="324"/>
  <c r="J14" i="324" s="1"/>
  <c r="H14" i="324"/>
  <c r="A14" i="324"/>
  <c r="J13" i="324"/>
  <c r="I13" i="324"/>
  <c r="A13" i="324"/>
  <c r="K12" i="324"/>
  <c r="I12" i="324"/>
  <c r="J12" i="324" s="1"/>
  <c r="H12" i="324"/>
  <c r="G12" i="324"/>
  <c r="F12" i="324"/>
  <c r="E12" i="324"/>
  <c r="D12" i="324"/>
  <c r="C12" i="324"/>
  <c r="A12" i="324"/>
  <c r="J11" i="324"/>
  <c r="I11" i="324"/>
  <c r="A11" i="324"/>
  <c r="J10" i="324"/>
  <c r="I10" i="324"/>
  <c r="A10" i="324"/>
  <c r="K9" i="324"/>
  <c r="I9" i="324"/>
  <c r="J9" i="324" s="1"/>
  <c r="H9" i="324"/>
  <c r="A9" i="324"/>
  <c r="J8" i="324"/>
  <c r="I8" i="324"/>
  <c r="A8" i="324"/>
  <c r="K7" i="324"/>
  <c r="H7" i="324"/>
  <c r="G7" i="324"/>
  <c r="F7" i="324"/>
  <c r="E7" i="324"/>
  <c r="D7" i="324"/>
  <c r="C7" i="324"/>
  <c r="A7" i="324"/>
  <c r="W3" i="324"/>
  <c r="V3" i="324"/>
  <c r="U3" i="324"/>
  <c r="T3" i="324"/>
  <c r="S3" i="324"/>
  <c r="R3" i="324"/>
  <c r="Q3" i="324"/>
  <c r="P3" i="324"/>
  <c r="O3" i="324"/>
  <c r="N3" i="324"/>
  <c r="M3" i="324"/>
  <c r="L3" i="324"/>
  <c r="K3" i="324"/>
  <c r="J3" i="324"/>
  <c r="I3" i="324"/>
  <c r="H3" i="324"/>
  <c r="G3" i="324"/>
  <c r="F3" i="324"/>
  <c r="E3" i="324"/>
  <c r="D3" i="324"/>
  <c r="C3" i="324"/>
  <c r="L2" i="324"/>
  <c r="D2" i="324"/>
  <c r="C2" i="324"/>
  <c r="B2" i="324"/>
  <c r="A2" i="324"/>
  <c r="A1" i="324"/>
  <c r="K86" i="268"/>
  <c r="H86" i="268"/>
  <c r="E86" i="268"/>
  <c r="D86" i="268"/>
  <c r="C86" i="268"/>
  <c r="A75" i="268"/>
  <c r="K74" i="268"/>
  <c r="H74" i="268"/>
  <c r="F74" i="268"/>
  <c r="E74" i="268"/>
  <c r="D74" i="268"/>
  <c r="C74" i="268"/>
  <c r="K73" i="268"/>
  <c r="I73" i="268"/>
  <c r="J73" i="268" s="1"/>
  <c r="H73" i="268"/>
  <c r="J72" i="268"/>
  <c r="I72" i="268"/>
  <c r="K70" i="268"/>
  <c r="H70" i="268"/>
  <c r="G70" i="268"/>
  <c r="G74" i="268" s="1"/>
  <c r="F70" i="268"/>
  <c r="E70" i="268"/>
  <c r="D70" i="268"/>
  <c r="C70" i="268"/>
  <c r="J69" i="268"/>
  <c r="I69" i="268"/>
  <c r="A69" i="268"/>
  <c r="J68" i="268"/>
  <c r="I68" i="268"/>
  <c r="K67" i="268"/>
  <c r="I67" i="268"/>
  <c r="J67" i="268" s="1"/>
  <c r="H67" i="268"/>
  <c r="K66" i="268"/>
  <c r="I66" i="268"/>
  <c r="J66" i="268" s="1"/>
  <c r="H66" i="268"/>
  <c r="K63" i="268"/>
  <c r="H63" i="268"/>
  <c r="E63" i="268"/>
  <c r="D63" i="268"/>
  <c r="C63" i="268"/>
  <c r="K62" i="268"/>
  <c r="J62" i="268"/>
  <c r="I62" i="268"/>
  <c r="H62" i="268"/>
  <c r="K61" i="268"/>
  <c r="J61" i="268"/>
  <c r="I61" i="268"/>
  <c r="H61" i="268"/>
  <c r="K60" i="268"/>
  <c r="I60" i="268"/>
  <c r="J60" i="268" s="1"/>
  <c r="H60" i="268"/>
  <c r="K59" i="268"/>
  <c r="J59" i="268"/>
  <c r="I59" i="268"/>
  <c r="H59" i="268"/>
  <c r="K58" i="268"/>
  <c r="J58" i="268"/>
  <c r="I58" i="268"/>
  <c r="H58" i="268"/>
  <c r="K57" i="268"/>
  <c r="H57" i="268"/>
  <c r="G57" i="268"/>
  <c r="I57" i="268" s="1"/>
  <c r="J57" i="268" s="1"/>
  <c r="F57" i="268"/>
  <c r="E57" i="268"/>
  <c r="D57" i="268"/>
  <c r="C57" i="268"/>
  <c r="J56" i="268"/>
  <c r="I56" i="268"/>
  <c r="K55" i="268"/>
  <c r="I55" i="268"/>
  <c r="J55" i="268" s="1"/>
  <c r="H55" i="268"/>
  <c r="K54" i="268"/>
  <c r="I54" i="268"/>
  <c r="J54" i="268" s="1"/>
  <c r="H54" i="268"/>
  <c r="K53" i="268"/>
  <c r="H53" i="268"/>
  <c r="G53" i="268"/>
  <c r="I53" i="268" s="1"/>
  <c r="J53" i="268" s="1"/>
  <c r="F53" i="268"/>
  <c r="E53" i="268"/>
  <c r="D53" i="268"/>
  <c r="C53" i="268"/>
  <c r="J52" i="268"/>
  <c r="I52" i="268"/>
  <c r="K51" i="268"/>
  <c r="J51" i="268"/>
  <c r="I51" i="268"/>
  <c r="H51" i="268"/>
  <c r="J50" i="268"/>
  <c r="I50" i="268"/>
  <c r="I49" i="268"/>
  <c r="J49" i="268" s="1"/>
  <c r="K48" i="268"/>
  <c r="I48" i="268"/>
  <c r="J48" i="268" s="1"/>
  <c r="H48" i="268"/>
  <c r="K47" i="268"/>
  <c r="H47" i="268"/>
  <c r="G47" i="268"/>
  <c r="I47" i="268" s="1"/>
  <c r="J47" i="268" s="1"/>
  <c r="F47" i="268"/>
  <c r="E47" i="268"/>
  <c r="D47" i="268"/>
  <c r="C47" i="268"/>
  <c r="J46" i="268"/>
  <c r="I46" i="268"/>
  <c r="K45" i="268"/>
  <c r="I45" i="268"/>
  <c r="J45" i="268" s="1"/>
  <c r="H45" i="268"/>
  <c r="K44" i="268"/>
  <c r="J44" i="268"/>
  <c r="I44" i="268"/>
  <c r="H44" i="268"/>
  <c r="K43" i="268"/>
  <c r="H43" i="268"/>
  <c r="G43" i="268"/>
  <c r="F43" i="268"/>
  <c r="E43" i="268"/>
  <c r="D43" i="268"/>
  <c r="C43" i="268"/>
  <c r="K40" i="268"/>
  <c r="H40" i="268"/>
  <c r="E40" i="268"/>
  <c r="D40" i="268"/>
  <c r="C40" i="268"/>
  <c r="K39" i="268"/>
  <c r="H39" i="268"/>
  <c r="E39" i="268"/>
  <c r="D39" i="268"/>
  <c r="C39" i="268"/>
  <c r="K38" i="268"/>
  <c r="J38" i="268"/>
  <c r="I38" i="268"/>
  <c r="H38" i="268"/>
  <c r="G38" i="268"/>
  <c r="F38" i="268"/>
  <c r="E38" i="268"/>
  <c r="D38" i="268"/>
  <c r="C38" i="268"/>
  <c r="A38" i="268"/>
  <c r="K37" i="268"/>
  <c r="J37" i="268"/>
  <c r="I37" i="268"/>
  <c r="H37" i="268"/>
  <c r="G37" i="268"/>
  <c r="F37" i="268"/>
  <c r="E37" i="268"/>
  <c r="D37" i="268"/>
  <c r="C37" i="268"/>
  <c r="A37" i="268"/>
  <c r="K36" i="268"/>
  <c r="J36" i="268"/>
  <c r="I36" i="268"/>
  <c r="H36" i="268"/>
  <c r="G36" i="268"/>
  <c r="F36" i="268"/>
  <c r="E36" i="268"/>
  <c r="D36" i="268"/>
  <c r="C36" i="268"/>
  <c r="A36" i="268"/>
  <c r="K35" i="268"/>
  <c r="J35" i="268"/>
  <c r="I35" i="268"/>
  <c r="H35" i="268"/>
  <c r="G35" i="268"/>
  <c r="F35" i="268"/>
  <c r="E35" i="268"/>
  <c r="D35" i="268"/>
  <c r="C35" i="268"/>
  <c r="A35" i="268"/>
  <c r="K34" i="268"/>
  <c r="J34" i="268"/>
  <c r="I34" i="268"/>
  <c r="H34" i="268"/>
  <c r="G34" i="268"/>
  <c r="F34" i="268"/>
  <c r="E34" i="268"/>
  <c r="D34" i="268"/>
  <c r="C34" i="268"/>
  <c r="A34" i="268"/>
  <c r="K33" i="268"/>
  <c r="J33" i="268"/>
  <c r="I33" i="268"/>
  <c r="H33" i="268"/>
  <c r="G33" i="268"/>
  <c r="F33" i="268"/>
  <c r="E33" i="268"/>
  <c r="D33" i="268"/>
  <c r="C33" i="268"/>
  <c r="A33" i="268"/>
  <c r="K32" i="268"/>
  <c r="J32" i="268"/>
  <c r="I32" i="268"/>
  <c r="H32" i="268"/>
  <c r="G32" i="268"/>
  <c r="F32" i="268"/>
  <c r="E32" i="268"/>
  <c r="D32" i="268"/>
  <c r="C32" i="268"/>
  <c r="A32" i="268"/>
  <c r="K31" i="268"/>
  <c r="J31" i="268"/>
  <c r="I31" i="268"/>
  <c r="H31" i="268"/>
  <c r="G31" i="268"/>
  <c r="F31" i="268"/>
  <c r="E31" i="268"/>
  <c r="D31" i="268"/>
  <c r="C31" i="268"/>
  <c r="A31" i="268"/>
  <c r="K30" i="268"/>
  <c r="J30" i="268"/>
  <c r="I30" i="268"/>
  <c r="H30" i="268"/>
  <c r="G30" i="268"/>
  <c r="F30" i="268"/>
  <c r="E30" i="268"/>
  <c r="D30" i="268"/>
  <c r="C30" i="268"/>
  <c r="A30" i="268"/>
  <c r="K29" i="268"/>
  <c r="I29" i="268"/>
  <c r="J29" i="268" s="1"/>
  <c r="H29" i="268"/>
  <c r="G29" i="268"/>
  <c r="F29" i="268"/>
  <c r="E29" i="268"/>
  <c r="D29" i="268"/>
  <c r="C29" i="268"/>
  <c r="A29" i="268"/>
  <c r="K28" i="268"/>
  <c r="H28" i="268"/>
  <c r="F28" i="268"/>
  <c r="E28" i="268"/>
  <c r="D28" i="268"/>
  <c r="C28" i="268"/>
  <c r="A28" i="268"/>
  <c r="K27" i="268"/>
  <c r="H27" i="268"/>
  <c r="G27" i="268"/>
  <c r="E27" i="268"/>
  <c r="D27" i="268"/>
  <c r="C27" i="268"/>
  <c r="A27" i="268"/>
  <c r="K26" i="268"/>
  <c r="H26" i="268"/>
  <c r="G26" i="268"/>
  <c r="F26" i="268"/>
  <c r="E26" i="268"/>
  <c r="D26" i="268"/>
  <c r="C26" i="268"/>
  <c r="A26" i="268"/>
  <c r="K25" i="268"/>
  <c r="H25" i="268"/>
  <c r="G25" i="268"/>
  <c r="E25" i="268"/>
  <c r="D25" i="268"/>
  <c r="C25" i="268"/>
  <c r="A25" i="268"/>
  <c r="K24" i="268"/>
  <c r="H24" i="268"/>
  <c r="F24" i="268"/>
  <c r="E24" i="268"/>
  <c r="D24" i="268"/>
  <c r="C24" i="268"/>
  <c r="A24" i="268"/>
  <c r="K21" i="268"/>
  <c r="H21" i="268"/>
  <c r="E21" i="268"/>
  <c r="D21" i="268"/>
  <c r="C21" i="268"/>
  <c r="K20" i="268"/>
  <c r="J20" i="268"/>
  <c r="I20" i="268"/>
  <c r="H20" i="268"/>
  <c r="G20" i="268"/>
  <c r="F20" i="268"/>
  <c r="E20" i="268"/>
  <c r="D20" i="268"/>
  <c r="C20" i="268"/>
  <c r="A20" i="268"/>
  <c r="K19" i="268"/>
  <c r="J19" i="268"/>
  <c r="I19" i="268"/>
  <c r="H19" i="268"/>
  <c r="G19" i="268"/>
  <c r="F19" i="268"/>
  <c r="E19" i="268"/>
  <c r="D19" i="268"/>
  <c r="C19" i="268"/>
  <c r="A19" i="268"/>
  <c r="K18" i="268"/>
  <c r="J18" i="268"/>
  <c r="I18" i="268"/>
  <c r="H18" i="268"/>
  <c r="G18" i="268"/>
  <c r="F18" i="268"/>
  <c r="E18" i="268"/>
  <c r="D18" i="268"/>
  <c r="C18" i="268"/>
  <c r="A18" i="268"/>
  <c r="K17" i="268"/>
  <c r="J17" i="268"/>
  <c r="I17" i="268"/>
  <c r="H17" i="268"/>
  <c r="G17" i="268"/>
  <c r="F17" i="268"/>
  <c r="E17" i="268"/>
  <c r="D17" i="268"/>
  <c r="C17" i="268"/>
  <c r="A17" i="268"/>
  <c r="K16" i="268"/>
  <c r="J16" i="268"/>
  <c r="I16" i="268"/>
  <c r="H16" i="268"/>
  <c r="G16" i="268"/>
  <c r="F16" i="268"/>
  <c r="E16" i="268"/>
  <c r="D16" i="268"/>
  <c r="C16" i="268"/>
  <c r="A16" i="268"/>
  <c r="K15" i="268"/>
  <c r="J15" i="268"/>
  <c r="I15" i="268"/>
  <c r="H15" i="268"/>
  <c r="G15" i="268"/>
  <c r="F15" i="268"/>
  <c r="E15" i="268"/>
  <c r="D15" i="268"/>
  <c r="C15" i="268"/>
  <c r="A15" i="268"/>
  <c r="K14" i="268"/>
  <c r="J14" i="268"/>
  <c r="I14" i="268"/>
  <c r="H14" i="268"/>
  <c r="G14" i="268"/>
  <c r="F14" i="268"/>
  <c r="E14" i="268"/>
  <c r="D14" i="268"/>
  <c r="C14" i="268"/>
  <c r="A14" i="268"/>
  <c r="K13" i="268"/>
  <c r="J13" i="268"/>
  <c r="I13" i="268"/>
  <c r="H13" i="268"/>
  <c r="G13" i="268"/>
  <c r="F13" i="268"/>
  <c r="E13" i="268"/>
  <c r="D13" i="268"/>
  <c r="C13" i="268"/>
  <c r="A13" i="268"/>
  <c r="K12" i="268"/>
  <c r="J12" i="268"/>
  <c r="I12" i="268"/>
  <c r="H12" i="268"/>
  <c r="G12" i="268"/>
  <c r="F12" i="268"/>
  <c r="E12" i="268"/>
  <c r="D12" i="268"/>
  <c r="C12" i="268"/>
  <c r="A12" i="268"/>
  <c r="K11" i="268"/>
  <c r="I11" i="268"/>
  <c r="J11" i="268" s="1"/>
  <c r="H11" i="268"/>
  <c r="G11" i="268"/>
  <c r="F11" i="268"/>
  <c r="E11" i="268"/>
  <c r="D11" i="268"/>
  <c r="C11" i="268"/>
  <c r="A11" i="268"/>
  <c r="K10" i="268"/>
  <c r="H10" i="268"/>
  <c r="G10" i="268"/>
  <c r="I10" i="268" s="1"/>
  <c r="J10" i="268" s="1"/>
  <c r="F10" i="268"/>
  <c r="E10" i="268"/>
  <c r="D10" i="268"/>
  <c r="C10" i="268"/>
  <c r="A10" i="268"/>
  <c r="K9" i="268"/>
  <c r="J9" i="268"/>
  <c r="I9" i="268"/>
  <c r="H9" i="268"/>
  <c r="G9" i="268"/>
  <c r="F9" i="268"/>
  <c r="E9" i="268"/>
  <c r="D9" i="268"/>
  <c r="C9" i="268"/>
  <c r="A9" i="268"/>
  <c r="K8" i="268"/>
  <c r="H8" i="268"/>
  <c r="G8" i="268"/>
  <c r="I8" i="268" s="1"/>
  <c r="J8" i="268" s="1"/>
  <c r="E8" i="268"/>
  <c r="D8" i="268"/>
  <c r="C8" i="268"/>
  <c r="A8" i="268"/>
  <c r="K7" i="268"/>
  <c r="H7" i="268"/>
  <c r="G7" i="268"/>
  <c r="I7" i="268" s="1"/>
  <c r="J7" i="268" s="1"/>
  <c r="F7" i="268"/>
  <c r="E7" i="268"/>
  <c r="D7" i="268"/>
  <c r="C7" i="268"/>
  <c r="A7" i="268"/>
  <c r="K6" i="268"/>
  <c r="H6" i="268"/>
  <c r="F6" i="268"/>
  <c r="E6" i="268"/>
  <c r="D6" i="268"/>
  <c r="C6" i="268"/>
  <c r="A6" i="268"/>
  <c r="K3" i="268"/>
  <c r="J3" i="268"/>
  <c r="I3" i="268"/>
  <c r="H3" i="268"/>
  <c r="G3" i="268"/>
  <c r="F3" i="268"/>
  <c r="E3" i="268"/>
  <c r="D3" i="268"/>
  <c r="C3" i="268"/>
  <c r="D2" i="268"/>
  <c r="C2" i="268"/>
  <c r="B2" i="268"/>
  <c r="A2" i="268"/>
  <c r="A1" i="268"/>
  <c r="K53" i="182"/>
  <c r="H53" i="182"/>
  <c r="E53" i="182"/>
  <c r="D53" i="182"/>
  <c r="C53" i="182"/>
  <c r="A53" i="182"/>
  <c r="A49" i="182"/>
  <c r="K48" i="182"/>
  <c r="H48" i="182"/>
  <c r="E48" i="182"/>
  <c r="D48" i="182"/>
  <c r="C48" i="182"/>
  <c r="K46" i="182"/>
  <c r="H46" i="182"/>
  <c r="E46" i="182"/>
  <c r="D46" i="182"/>
  <c r="C46" i="182"/>
  <c r="K44" i="182"/>
  <c r="H44" i="182"/>
  <c r="E44" i="182"/>
  <c r="D44" i="182"/>
  <c r="C44" i="182"/>
  <c r="J43" i="182"/>
  <c r="I43" i="182"/>
  <c r="K42" i="182"/>
  <c r="H42" i="182"/>
  <c r="E42" i="182"/>
  <c r="D42" i="182"/>
  <c r="C42" i="182"/>
  <c r="J41" i="182"/>
  <c r="I41" i="182"/>
  <c r="J40" i="182"/>
  <c r="I40" i="182"/>
  <c r="K39" i="182"/>
  <c r="J39" i="182"/>
  <c r="I39" i="182"/>
  <c r="H39" i="182"/>
  <c r="K38" i="182"/>
  <c r="H38" i="182"/>
  <c r="E38" i="182"/>
  <c r="D38" i="182"/>
  <c r="C38" i="182"/>
  <c r="K36" i="182"/>
  <c r="H36" i="182"/>
  <c r="G36" i="182"/>
  <c r="F36" i="182"/>
  <c r="E36" i="182"/>
  <c r="D36" i="182"/>
  <c r="C36" i="182"/>
  <c r="J35" i="182"/>
  <c r="I35" i="182"/>
  <c r="K34" i="182"/>
  <c r="I34" i="182"/>
  <c r="J34" i="182" s="1"/>
  <c r="H34" i="182"/>
  <c r="K33" i="182"/>
  <c r="I33" i="182"/>
  <c r="J33" i="182" s="1"/>
  <c r="H33" i="182"/>
  <c r="K32" i="182"/>
  <c r="I32" i="182"/>
  <c r="J32" i="182" s="1"/>
  <c r="H32" i="182"/>
  <c r="K31" i="182"/>
  <c r="J31" i="182"/>
  <c r="I31" i="182"/>
  <c r="H31" i="182"/>
  <c r="K30" i="182"/>
  <c r="I30" i="182"/>
  <c r="J30" i="182" s="1"/>
  <c r="H30" i="182"/>
  <c r="K29" i="182"/>
  <c r="I29" i="182"/>
  <c r="J29" i="182" s="1"/>
  <c r="H29" i="182"/>
  <c r="K28" i="182"/>
  <c r="I28" i="182"/>
  <c r="J28" i="182" s="1"/>
  <c r="H28" i="182"/>
  <c r="K27" i="182"/>
  <c r="I27" i="182"/>
  <c r="J27" i="182" s="1"/>
  <c r="H27" i="182"/>
  <c r="K26" i="182"/>
  <c r="J26" i="182"/>
  <c r="I26" i="182"/>
  <c r="H26" i="182"/>
  <c r="K25" i="182"/>
  <c r="I25" i="182"/>
  <c r="J25" i="182" s="1"/>
  <c r="H25" i="182"/>
  <c r="K22" i="182"/>
  <c r="H22" i="182"/>
  <c r="G22" i="182"/>
  <c r="G53" i="182" s="1"/>
  <c r="F22" i="182"/>
  <c r="F53" i="182" s="1"/>
  <c r="E22" i="182"/>
  <c r="D22" i="182"/>
  <c r="C22" i="182"/>
  <c r="J21" i="182"/>
  <c r="I21" i="182"/>
  <c r="K20" i="182"/>
  <c r="I20" i="182"/>
  <c r="J20" i="182" s="1"/>
  <c r="H20" i="182"/>
  <c r="K19" i="182"/>
  <c r="J19" i="182"/>
  <c r="I19" i="182"/>
  <c r="H19" i="182"/>
  <c r="K18" i="182"/>
  <c r="J18" i="182"/>
  <c r="I18" i="182"/>
  <c r="H18" i="182"/>
  <c r="K17" i="182"/>
  <c r="I17" i="182"/>
  <c r="J17" i="182" s="1"/>
  <c r="H17" i="182"/>
  <c r="K16" i="182"/>
  <c r="I16" i="182"/>
  <c r="J16" i="182" s="1"/>
  <c r="H16" i="182"/>
  <c r="J15" i="182"/>
  <c r="I15" i="182"/>
  <c r="K14" i="182"/>
  <c r="I14" i="182"/>
  <c r="J14" i="182" s="1"/>
  <c r="H14" i="182"/>
  <c r="K13" i="182"/>
  <c r="I13" i="182"/>
  <c r="J13" i="182" s="1"/>
  <c r="H13" i="182"/>
  <c r="K12" i="182"/>
  <c r="J12" i="182"/>
  <c r="I12" i="182"/>
  <c r="H12" i="182"/>
  <c r="K10" i="182"/>
  <c r="I10" i="182"/>
  <c r="J10" i="182" s="1"/>
  <c r="H10" i="182"/>
  <c r="K9" i="182"/>
  <c r="I9" i="182"/>
  <c r="J9" i="182" s="1"/>
  <c r="H9" i="182"/>
  <c r="K8" i="182"/>
  <c r="J8" i="182"/>
  <c r="I8" i="182"/>
  <c r="H8" i="182"/>
  <c r="K7" i="182"/>
  <c r="I7" i="182"/>
  <c r="J7" i="182" s="1"/>
  <c r="H7" i="182"/>
  <c r="K6" i="182"/>
  <c r="I6" i="182"/>
  <c r="J6" i="182" s="1"/>
  <c r="H6" i="182"/>
  <c r="K3" i="182"/>
  <c r="J3" i="182"/>
  <c r="I3" i="182"/>
  <c r="H3" i="182"/>
  <c r="G3" i="182"/>
  <c r="F3" i="182"/>
  <c r="E3" i="182"/>
  <c r="D3" i="182"/>
  <c r="C3" i="182"/>
  <c r="D2" i="182"/>
  <c r="C2" i="182"/>
  <c r="B2" i="182"/>
  <c r="A2" i="182"/>
  <c r="A1" i="182"/>
  <c r="A342" i="323"/>
  <c r="K341" i="323"/>
  <c r="H341" i="323"/>
  <c r="E341" i="323"/>
  <c r="D341" i="323"/>
  <c r="C341" i="323"/>
  <c r="A341" i="323"/>
  <c r="W340" i="323"/>
  <c r="V340" i="323"/>
  <c r="U340" i="323"/>
  <c r="T340" i="323"/>
  <c r="S340" i="323"/>
  <c r="R340" i="323"/>
  <c r="Q340" i="323"/>
  <c r="P340" i="323"/>
  <c r="O340" i="323"/>
  <c r="N340" i="323"/>
  <c r="M340" i="323"/>
  <c r="L340" i="323"/>
  <c r="J340" i="323"/>
  <c r="I340" i="323"/>
  <c r="K339" i="323"/>
  <c r="H339" i="323"/>
  <c r="E339" i="323"/>
  <c r="D339" i="323"/>
  <c r="C339" i="323"/>
  <c r="W338" i="323"/>
  <c r="V338" i="323"/>
  <c r="U338" i="323"/>
  <c r="T338" i="323"/>
  <c r="S338" i="323"/>
  <c r="R338" i="323"/>
  <c r="Q338" i="323"/>
  <c r="P338" i="323"/>
  <c r="O338" i="323"/>
  <c r="N338" i="323"/>
  <c r="M338" i="323"/>
  <c r="L338" i="323"/>
  <c r="J338" i="323"/>
  <c r="I338" i="323"/>
  <c r="A338" i="323"/>
  <c r="J337" i="323"/>
  <c r="I337" i="323"/>
  <c r="A337" i="323"/>
  <c r="J336" i="323"/>
  <c r="I336" i="323"/>
  <c r="A336" i="323"/>
  <c r="J335" i="323"/>
  <c r="I335" i="323"/>
  <c r="A335" i="323"/>
  <c r="J334" i="323"/>
  <c r="I334" i="323"/>
  <c r="A334" i="323"/>
  <c r="J333" i="323"/>
  <c r="I333" i="323"/>
  <c r="A333" i="323"/>
  <c r="J332" i="323"/>
  <c r="I332" i="323"/>
  <c r="A332" i="323"/>
  <c r="J331" i="323"/>
  <c r="I331" i="323"/>
  <c r="A331" i="323"/>
  <c r="J330" i="323"/>
  <c r="I330" i="323"/>
  <c r="A330" i="323"/>
  <c r="J329" i="323"/>
  <c r="I329" i="323"/>
  <c r="A329" i="323"/>
  <c r="K328" i="323"/>
  <c r="J328" i="323"/>
  <c r="I328" i="323"/>
  <c r="H328" i="323"/>
  <c r="G328" i="323"/>
  <c r="F328" i="323"/>
  <c r="E328" i="323"/>
  <c r="D328" i="323"/>
  <c r="C328" i="323"/>
  <c r="A328" i="323"/>
  <c r="J327" i="323"/>
  <c r="I327" i="323"/>
  <c r="A327" i="323"/>
  <c r="J326" i="323"/>
  <c r="I326" i="323"/>
  <c r="A326" i="323"/>
  <c r="J325" i="323"/>
  <c r="I325" i="323"/>
  <c r="A325" i="323"/>
  <c r="J324" i="323"/>
  <c r="I324" i="323"/>
  <c r="A324" i="323"/>
  <c r="J323" i="323"/>
  <c r="I323" i="323"/>
  <c r="A323" i="323"/>
  <c r="J322" i="323"/>
  <c r="I322" i="323"/>
  <c r="A322" i="323"/>
  <c r="J321" i="323"/>
  <c r="I321" i="323"/>
  <c r="A321" i="323"/>
  <c r="J320" i="323"/>
  <c r="I320" i="323"/>
  <c r="A320" i="323"/>
  <c r="J319" i="323"/>
  <c r="I319" i="323"/>
  <c r="A319" i="323"/>
  <c r="J318" i="323"/>
  <c r="I318" i="323"/>
  <c r="A318" i="323"/>
  <c r="K317" i="323"/>
  <c r="J317" i="323"/>
  <c r="I317" i="323"/>
  <c r="H317" i="323"/>
  <c r="G317" i="323"/>
  <c r="F317" i="323"/>
  <c r="E317" i="323"/>
  <c r="D317" i="323"/>
  <c r="C317" i="323"/>
  <c r="A317" i="323"/>
  <c r="J316" i="323"/>
  <c r="I316" i="323"/>
  <c r="A316" i="323"/>
  <c r="J315" i="323"/>
  <c r="I315" i="323"/>
  <c r="A315" i="323"/>
  <c r="J314" i="323"/>
  <c r="I314" i="323"/>
  <c r="A314" i="323"/>
  <c r="J313" i="323"/>
  <c r="I313" i="323"/>
  <c r="A313" i="323"/>
  <c r="J312" i="323"/>
  <c r="I312" i="323"/>
  <c r="A312" i="323"/>
  <c r="J311" i="323"/>
  <c r="I311" i="323"/>
  <c r="A311" i="323"/>
  <c r="J310" i="323"/>
  <c r="I310" i="323"/>
  <c r="A310" i="323"/>
  <c r="J309" i="323"/>
  <c r="I309" i="323"/>
  <c r="A309" i="323"/>
  <c r="J308" i="323"/>
  <c r="I308" i="323"/>
  <c r="A308" i="323"/>
  <c r="J307" i="323"/>
  <c r="I307" i="323"/>
  <c r="A307" i="323"/>
  <c r="K306" i="323"/>
  <c r="J306" i="323"/>
  <c r="I306" i="323"/>
  <c r="H306" i="323"/>
  <c r="G306" i="323"/>
  <c r="F306" i="323"/>
  <c r="E306" i="323"/>
  <c r="D306" i="323"/>
  <c r="C306" i="323"/>
  <c r="A306" i="323"/>
  <c r="J305" i="323"/>
  <c r="I305" i="323"/>
  <c r="A305" i="323"/>
  <c r="J304" i="323"/>
  <c r="I304" i="323"/>
  <c r="A304" i="323"/>
  <c r="J303" i="323"/>
  <c r="I303" i="323"/>
  <c r="A303" i="323"/>
  <c r="J302" i="323"/>
  <c r="I302" i="323"/>
  <c r="A302" i="323"/>
  <c r="J301" i="323"/>
  <c r="I301" i="323"/>
  <c r="A301" i="323"/>
  <c r="J300" i="323"/>
  <c r="I300" i="323"/>
  <c r="A300" i="323"/>
  <c r="J299" i="323"/>
  <c r="I299" i="323"/>
  <c r="A299" i="323"/>
  <c r="J298" i="323"/>
  <c r="I298" i="323"/>
  <c r="A298" i="323"/>
  <c r="J297" i="323"/>
  <c r="I297" i="323"/>
  <c r="A297" i="323"/>
  <c r="J296" i="323"/>
  <c r="I296" i="323"/>
  <c r="A296" i="323"/>
  <c r="K295" i="323"/>
  <c r="J295" i="323"/>
  <c r="I295" i="323"/>
  <c r="H295" i="323"/>
  <c r="G295" i="323"/>
  <c r="F295" i="323"/>
  <c r="E295" i="323"/>
  <c r="D295" i="323"/>
  <c r="C295" i="323"/>
  <c r="A295" i="323"/>
  <c r="J294" i="323"/>
  <c r="I294" i="323"/>
  <c r="A294" i="323"/>
  <c r="J293" i="323"/>
  <c r="I293" i="323"/>
  <c r="A293" i="323"/>
  <c r="J292" i="323"/>
  <c r="I292" i="323"/>
  <c r="A292" i="323"/>
  <c r="J291" i="323"/>
  <c r="I291" i="323"/>
  <c r="A291" i="323"/>
  <c r="J290" i="323"/>
  <c r="I290" i="323"/>
  <c r="A290" i="323"/>
  <c r="J289" i="323"/>
  <c r="I289" i="323"/>
  <c r="A289" i="323"/>
  <c r="J288" i="323"/>
  <c r="I288" i="323"/>
  <c r="A288" i="323"/>
  <c r="J287" i="323"/>
  <c r="I287" i="323"/>
  <c r="A287" i="323"/>
  <c r="J286" i="323"/>
  <c r="I286" i="323"/>
  <c r="A286" i="323"/>
  <c r="J285" i="323"/>
  <c r="I285" i="323"/>
  <c r="A285" i="323"/>
  <c r="K284" i="323"/>
  <c r="J284" i="323"/>
  <c r="I284" i="323"/>
  <c r="H284" i="323"/>
  <c r="G284" i="323"/>
  <c r="F284" i="323"/>
  <c r="E284" i="323"/>
  <c r="D284" i="323"/>
  <c r="C284" i="323"/>
  <c r="A284" i="323"/>
  <c r="J283" i="323"/>
  <c r="I283" i="323"/>
  <c r="A283" i="323"/>
  <c r="J282" i="323"/>
  <c r="I282" i="323"/>
  <c r="A282" i="323"/>
  <c r="J281" i="323"/>
  <c r="I281" i="323"/>
  <c r="A281" i="323"/>
  <c r="J280" i="323"/>
  <c r="I280" i="323"/>
  <c r="A280" i="323"/>
  <c r="J279" i="323"/>
  <c r="I279" i="323"/>
  <c r="A279" i="323"/>
  <c r="J278" i="323"/>
  <c r="I278" i="323"/>
  <c r="A278" i="323"/>
  <c r="J277" i="323"/>
  <c r="I277" i="323"/>
  <c r="A277" i="323"/>
  <c r="J276" i="323"/>
  <c r="I276" i="323"/>
  <c r="A276" i="323"/>
  <c r="J275" i="323"/>
  <c r="I275" i="323"/>
  <c r="A275" i="323"/>
  <c r="J274" i="323"/>
  <c r="I274" i="323"/>
  <c r="A274" i="323"/>
  <c r="K273" i="323"/>
  <c r="J273" i="323"/>
  <c r="I273" i="323"/>
  <c r="H273" i="323"/>
  <c r="G273" i="323"/>
  <c r="F273" i="323"/>
  <c r="E273" i="323"/>
  <c r="D273" i="323"/>
  <c r="C273" i="323"/>
  <c r="A273" i="323"/>
  <c r="J272" i="323"/>
  <c r="I272" i="323"/>
  <c r="A272" i="323"/>
  <c r="J271" i="323"/>
  <c r="I271" i="323"/>
  <c r="A271" i="323"/>
  <c r="J270" i="323"/>
  <c r="I270" i="323"/>
  <c r="A270" i="323"/>
  <c r="J269" i="323"/>
  <c r="I269" i="323"/>
  <c r="A269" i="323"/>
  <c r="J268" i="323"/>
  <c r="I268" i="323"/>
  <c r="A268" i="323"/>
  <c r="J267" i="323"/>
  <c r="I267" i="323"/>
  <c r="A267" i="323"/>
  <c r="J266" i="323"/>
  <c r="I266" i="323"/>
  <c r="A266" i="323"/>
  <c r="J265" i="323"/>
  <c r="I265" i="323"/>
  <c r="A265" i="323"/>
  <c r="J264" i="323"/>
  <c r="I264" i="323"/>
  <c r="A264" i="323"/>
  <c r="J263" i="323"/>
  <c r="I263" i="323"/>
  <c r="A263" i="323"/>
  <c r="K262" i="323"/>
  <c r="J262" i="323"/>
  <c r="I262" i="323"/>
  <c r="H262" i="323"/>
  <c r="G262" i="323"/>
  <c r="F262" i="323"/>
  <c r="E262" i="323"/>
  <c r="D262" i="323"/>
  <c r="C262" i="323"/>
  <c r="A262" i="323"/>
  <c r="J261" i="323"/>
  <c r="I261" i="323"/>
  <c r="A261" i="323"/>
  <c r="J260" i="323"/>
  <c r="I260" i="323"/>
  <c r="A260" i="323"/>
  <c r="J259" i="323"/>
  <c r="I259" i="323"/>
  <c r="A259" i="323"/>
  <c r="J258" i="323"/>
  <c r="I258" i="323"/>
  <c r="A258" i="323"/>
  <c r="J257" i="323"/>
  <c r="I257" i="323"/>
  <c r="A257" i="323"/>
  <c r="J256" i="323"/>
  <c r="I256" i="323"/>
  <c r="A256" i="323"/>
  <c r="J255" i="323"/>
  <c r="I255" i="323"/>
  <c r="A255" i="323"/>
  <c r="J254" i="323"/>
  <c r="I254" i="323"/>
  <c r="A254" i="323"/>
  <c r="J253" i="323"/>
  <c r="I253" i="323"/>
  <c r="A253" i="323"/>
  <c r="J252" i="323"/>
  <c r="I252" i="323"/>
  <c r="A252" i="323"/>
  <c r="K251" i="323"/>
  <c r="J251" i="323"/>
  <c r="I251" i="323"/>
  <c r="H251" i="323"/>
  <c r="G251" i="323"/>
  <c r="F251" i="323"/>
  <c r="E251" i="323"/>
  <c r="D251" i="323"/>
  <c r="C251" i="323"/>
  <c r="A251" i="323"/>
  <c r="J250" i="323"/>
  <c r="I250" i="323"/>
  <c r="A250" i="323"/>
  <c r="J249" i="323"/>
  <c r="I249" i="323"/>
  <c r="A249" i="323"/>
  <c r="J248" i="323"/>
  <c r="I248" i="323"/>
  <c r="A248" i="323"/>
  <c r="J247" i="323"/>
  <c r="I247" i="323"/>
  <c r="A247" i="323"/>
  <c r="J246" i="323"/>
  <c r="I246" i="323"/>
  <c r="A246" i="323"/>
  <c r="J245" i="323"/>
  <c r="I245" i="323"/>
  <c r="A245" i="323"/>
  <c r="J244" i="323"/>
  <c r="I244" i="323"/>
  <c r="A244" i="323"/>
  <c r="J243" i="323"/>
  <c r="I243" i="323"/>
  <c r="A243" i="323"/>
  <c r="J242" i="323"/>
  <c r="I242" i="323"/>
  <c r="A242" i="323"/>
  <c r="J241" i="323"/>
  <c r="I241" i="323"/>
  <c r="A241" i="323"/>
  <c r="K240" i="323"/>
  <c r="J240" i="323"/>
  <c r="I240" i="323"/>
  <c r="H240" i="323"/>
  <c r="G240" i="323"/>
  <c r="F240" i="323"/>
  <c r="E240" i="323"/>
  <c r="D240" i="323"/>
  <c r="C240" i="323"/>
  <c r="A240" i="323"/>
  <c r="J239" i="323"/>
  <c r="I239" i="323"/>
  <c r="A239" i="323"/>
  <c r="J238" i="323"/>
  <c r="I238" i="323"/>
  <c r="A238" i="323"/>
  <c r="J237" i="323"/>
  <c r="I237" i="323"/>
  <c r="A237" i="323"/>
  <c r="J236" i="323"/>
  <c r="I236" i="323"/>
  <c r="A236" i="323"/>
  <c r="J235" i="323"/>
  <c r="I235" i="323"/>
  <c r="A235" i="323"/>
  <c r="I234" i="323"/>
  <c r="J234" i="323" s="1"/>
  <c r="A234" i="323"/>
  <c r="I233" i="323"/>
  <c r="J233" i="323" s="1"/>
  <c r="A233" i="323"/>
  <c r="I232" i="323"/>
  <c r="J232" i="323" s="1"/>
  <c r="A232" i="323"/>
  <c r="I231" i="323"/>
  <c r="J231" i="323" s="1"/>
  <c r="A231" i="323"/>
  <c r="K230" i="323"/>
  <c r="I230" i="323"/>
  <c r="J230" i="323" s="1"/>
  <c r="H230" i="323"/>
  <c r="A230" i="323"/>
  <c r="K229" i="323"/>
  <c r="I229" i="323"/>
  <c r="J229" i="323" s="1"/>
  <c r="H229" i="323"/>
  <c r="G229" i="323"/>
  <c r="F229" i="323"/>
  <c r="E229" i="323"/>
  <c r="D229" i="323"/>
  <c r="C229" i="323"/>
  <c r="A229" i="323"/>
  <c r="J228" i="323"/>
  <c r="I228" i="323"/>
  <c r="A228" i="323"/>
  <c r="J227" i="323"/>
  <c r="I227" i="323"/>
  <c r="A227" i="323"/>
  <c r="J226" i="323"/>
  <c r="I226" i="323"/>
  <c r="A226" i="323"/>
  <c r="J225" i="323"/>
  <c r="I225" i="323"/>
  <c r="A225" i="323"/>
  <c r="J224" i="323"/>
  <c r="I224" i="323"/>
  <c r="A224" i="323"/>
  <c r="K223" i="323"/>
  <c r="I223" i="323"/>
  <c r="J223" i="323" s="1"/>
  <c r="H223" i="323"/>
  <c r="A223" i="323"/>
  <c r="K222" i="323"/>
  <c r="J222" i="323"/>
  <c r="I222" i="323"/>
  <c r="H222" i="323"/>
  <c r="A222" i="323"/>
  <c r="K221" i="323"/>
  <c r="I221" i="323"/>
  <c r="J221" i="323" s="1"/>
  <c r="H221" i="323"/>
  <c r="A221" i="323"/>
  <c r="K220" i="323"/>
  <c r="J220" i="323"/>
  <c r="I220" i="323"/>
  <c r="H220" i="323"/>
  <c r="A220" i="323"/>
  <c r="K219" i="323"/>
  <c r="I219" i="323"/>
  <c r="J219" i="323" s="1"/>
  <c r="H219" i="323"/>
  <c r="A219" i="323"/>
  <c r="K218" i="323"/>
  <c r="H218" i="323"/>
  <c r="G218" i="323"/>
  <c r="I218" i="323" s="1"/>
  <c r="J218" i="323" s="1"/>
  <c r="F218" i="323"/>
  <c r="F28" i="272" s="1"/>
  <c r="E218" i="323"/>
  <c r="D218" i="323"/>
  <c r="C218" i="323"/>
  <c r="A218" i="323"/>
  <c r="J217" i="323"/>
  <c r="I217" i="323"/>
  <c r="A217" i="323"/>
  <c r="J216" i="323"/>
  <c r="I216" i="323"/>
  <c r="A216" i="323"/>
  <c r="J215" i="323"/>
  <c r="I215" i="323"/>
  <c r="A215" i="323"/>
  <c r="J214" i="323"/>
  <c r="I214" i="323"/>
  <c r="A214" i="323"/>
  <c r="J213" i="323"/>
  <c r="I213" i="323"/>
  <c r="A213" i="323"/>
  <c r="K212" i="323"/>
  <c r="I212" i="323"/>
  <c r="J212" i="323" s="1"/>
  <c r="H212" i="323"/>
  <c r="A212" i="323"/>
  <c r="K211" i="323"/>
  <c r="I211" i="323"/>
  <c r="J211" i="323" s="1"/>
  <c r="H211" i="323"/>
  <c r="A211" i="323"/>
  <c r="K210" i="323"/>
  <c r="I210" i="323"/>
  <c r="J210" i="323" s="1"/>
  <c r="H210" i="323"/>
  <c r="A210" i="323"/>
  <c r="K209" i="323"/>
  <c r="J209" i="323"/>
  <c r="I209" i="323"/>
  <c r="H209" i="323"/>
  <c r="A209" i="323"/>
  <c r="K208" i="323"/>
  <c r="I208" i="323"/>
  <c r="J208" i="323" s="1"/>
  <c r="H208" i="323"/>
  <c r="A208" i="323"/>
  <c r="K207" i="323"/>
  <c r="H207" i="323"/>
  <c r="G207" i="323"/>
  <c r="I207" i="323" s="1"/>
  <c r="J207" i="323" s="1"/>
  <c r="F207" i="323"/>
  <c r="F27" i="272" s="1"/>
  <c r="E207" i="323"/>
  <c r="D207" i="323"/>
  <c r="C207" i="323"/>
  <c r="A207" i="323"/>
  <c r="J206" i="323"/>
  <c r="I206" i="323"/>
  <c r="A206" i="323"/>
  <c r="J205" i="323"/>
  <c r="I205" i="323"/>
  <c r="A205" i="323"/>
  <c r="J204" i="323"/>
  <c r="I204" i="323"/>
  <c r="A204" i="323"/>
  <c r="J203" i="323"/>
  <c r="I203" i="323"/>
  <c r="A203" i="323"/>
  <c r="J202" i="323"/>
  <c r="I202" i="323"/>
  <c r="A202" i="323"/>
  <c r="J201" i="323"/>
  <c r="I201" i="323"/>
  <c r="A201" i="323"/>
  <c r="I200" i="323"/>
  <c r="J200" i="323" s="1"/>
  <c r="A200" i="323"/>
  <c r="I199" i="323"/>
  <c r="J199" i="323" s="1"/>
  <c r="A199" i="323"/>
  <c r="K198" i="323"/>
  <c r="J198" i="323"/>
  <c r="I198" i="323"/>
  <c r="H198" i="323"/>
  <c r="A198" i="323"/>
  <c r="J197" i="323"/>
  <c r="I197" i="323"/>
  <c r="A197" i="323"/>
  <c r="K196" i="323"/>
  <c r="H196" i="323"/>
  <c r="G196" i="323"/>
  <c r="I196" i="323" s="1"/>
  <c r="J196" i="323" s="1"/>
  <c r="F196" i="323"/>
  <c r="E196" i="323"/>
  <c r="D196" i="323"/>
  <c r="C196" i="323"/>
  <c r="A196" i="323"/>
  <c r="J195" i="323"/>
  <c r="I195" i="323"/>
  <c r="A195" i="323"/>
  <c r="J194" i="323"/>
  <c r="I194" i="323"/>
  <c r="A194" i="323"/>
  <c r="J193" i="323"/>
  <c r="I193" i="323"/>
  <c r="A193" i="323"/>
  <c r="J192" i="323"/>
  <c r="I192" i="323"/>
  <c r="A192" i="323"/>
  <c r="J191" i="323"/>
  <c r="I191" i="323"/>
  <c r="A191" i="323"/>
  <c r="K190" i="323"/>
  <c r="I190" i="323"/>
  <c r="J190" i="323" s="1"/>
  <c r="H190" i="323"/>
  <c r="A190" i="323"/>
  <c r="K189" i="323"/>
  <c r="J189" i="323"/>
  <c r="I189" i="323"/>
  <c r="H189" i="323"/>
  <c r="A189" i="323"/>
  <c r="K188" i="323"/>
  <c r="I188" i="323"/>
  <c r="J188" i="323" s="1"/>
  <c r="H188" i="323"/>
  <c r="A188" i="323"/>
  <c r="K187" i="323"/>
  <c r="I187" i="323"/>
  <c r="J187" i="323" s="1"/>
  <c r="H187" i="323"/>
  <c r="A187" i="323"/>
  <c r="K186" i="323"/>
  <c r="J186" i="323"/>
  <c r="I186" i="323"/>
  <c r="H186" i="323"/>
  <c r="A186" i="323"/>
  <c r="K185" i="323"/>
  <c r="I185" i="323"/>
  <c r="J185" i="323" s="1"/>
  <c r="H185" i="323"/>
  <c r="G185" i="323"/>
  <c r="F185" i="323"/>
  <c r="E185" i="323"/>
  <c r="D185" i="323"/>
  <c r="C185" i="323"/>
  <c r="A185" i="323"/>
  <c r="J184" i="323"/>
  <c r="I184" i="323"/>
  <c r="A184" i="323"/>
  <c r="J183" i="323"/>
  <c r="I183" i="323"/>
  <c r="A183" i="323"/>
  <c r="J182" i="323"/>
  <c r="I182" i="323"/>
  <c r="A182" i="323"/>
  <c r="J181" i="323"/>
  <c r="I181" i="323"/>
  <c r="A181" i="323"/>
  <c r="J180" i="323"/>
  <c r="I180" i="323"/>
  <c r="A180" i="323"/>
  <c r="J179" i="323"/>
  <c r="I179" i="323"/>
  <c r="A179" i="323"/>
  <c r="K178" i="323"/>
  <c r="I178" i="323"/>
  <c r="J178" i="323" s="1"/>
  <c r="H178" i="323"/>
  <c r="A178" i="323"/>
  <c r="K177" i="323"/>
  <c r="I177" i="323"/>
  <c r="J177" i="323" s="1"/>
  <c r="H177" i="323"/>
  <c r="A177" i="323"/>
  <c r="K176" i="323"/>
  <c r="J176" i="323"/>
  <c r="I176" i="323"/>
  <c r="H176" i="323"/>
  <c r="A176" i="323"/>
  <c r="K175" i="323"/>
  <c r="I175" i="323"/>
  <c r="J175" i="323" s="1"/>
  <c r="H175" i="323"/>
  <c r="A175" i="323"/>
  <c r="K174" i="323"/>
  <c r="H174" i="323"/>
  <c r="G174" i="323"/>
  <c r="I174" i="323" s="1"/>
  <c r="J174" i="323" s="1"/>
  <c r="F174" i="323"/>
  <c r="E174" i="323"/>
  <c r="D174" i="323"/>
  <c r="C174" i="323"/>
  <c r="A174" i="323"/>
  <c r="J173" i="323"/>
  <c r="I173" i="323"/>
  <c r="J172" i="323"/>
  <c r="I172" i="323"/>
  <c r="K171" i="323"/>
  <c r="H171" i="323"/>
  <c r="E171" i="323"/>
  <c r="D171" i="323"/>
  <c r="C171" i="323"/>
  <c r="W170" i="323"/>
  <c r="V170" i="323"/>
  <c r="U170" i="323"/>
  <c r="T170" i="323"/>
  <c r="S170" i="323"/>
  <c r="R170" i="323"/>
  <c r="Q170" i="323"/>
  <c r="P170" i="323"/>
  <c r="O170" i="323"/>
  <c r="N170" i="323"/>
  <c r="M170" i="323"/>
  <c r="L170" i="323"/>
  <c r="J170" i="323"/>
  <c r="I170" i="323"/>
  <c r="A170" i="323"/>
  <c r="J169" i="323"/>
  <c r="I169" i="323"/>
  <c r="A169" i="323"/>
  <c r="J168" i="323"/>
  <c r="I168" i="323"/>
  <c r="A168" i="323"/>
  <c r="J167" i="323"/>
  <c r="I167" i="323"/>
  <c r="A167" i="323"/>
  <c r="J166" i="323"/>
  <c r="I166" i="323"/>
  <c r="A166" i="323"/>
  <c r="J165" i="323"/>
  <c r="I165" i="323"/>
  <c r="A165" i="323"/>
  <c r="J164" i="323"/>
  <c r="I164" i="323"/>
  <c r="A164" i="323"/>
  <c r="J163" i="323"/>
  <c r="I163" i="323"/>
  <c r="A163" i="323"/>
  <c r="J162" i="323"/>
  <c r="I162" i="323"/>
  <c r="A162" i="323"/>
  <c r="J161" i="323"/>
  <c r="I161" i="323"/>
  <c r="A161" i="323"/>
  <c r="K160" i="323"/>
  <c r="J160" i="323"/>
  <c r="I160" i="323"/>
  <c r="H160" i="323"/>
  <c r="G160" i="323"/>
  <c r="F160" i="323"/>
  <c r="E160" i="323"/>
  <c r="D160" i="323"/>
  <c r="C160" i="323"/>
  <c r="A160" i="323"/>
  <c r="J159" i="323"/>
  <c r="I159" i="323"/>
  <c r="A159" i="323"/>
  <c r="J158" i="323"/>
  <c r="I158" i="323"/>
  <c r="A158" i="323"/>
  <c r="J157" i="323"/>
  <c r="I157" i="323"/>
  <c r="A157" i="323"/>
  <c r="J156" i="323"/>
  <c r="I156" i="323"/>
  <c r="A156" i="323"/>
  <c r="J155" i="323"/>
  <c r="I155" i="323"/>
  <c r="A155" i="323"/>
  <c r="J154" i="323"/>
  <c r="I154" i="323"/>
  <c r="A154" i="323"/>
  <c r="J153" i="323"/>
  <c r="I153" i="323"/>
  <c r="A153" i="323"/>
  <c r="J152" i="323"/>
  <c r="I152" i="323"/>
  <c r="A152" i="323"/>
  <c r="J151" i="323"/>
  <c r="I151" i="323"/>
  <c r="A151" i="323"/>
  <c r="J150" i="323"/>
  <c r="I150" i="323"/>
  <c r="A150" i="323"/>
  <c r="K149" i="323"/>
  <c r="J149" i="323"/>
  <c r="I149" i="323"/>
  <c r="H149" i="323"/>
  <c r="G149" i="323"/>
  <c r="F149" i="323"/>
  <c r="E149" i="323"/>
  <c r="D149" i="323"/>
  <c r="C149" i="323"/>
  <c r="A149" i="323"/>
  <c r="J148" i="323"/>
  <c r="I148" i="323"/>
  <c r="A148" i="323"/>
  <c r="J147" i="323"/>
  <c r="I147" i="323"/>
  <c r="A147" i="323"/>
  <c r="J146" i="323"/>
  <c r="I146" i="323"/>
  <c r="A146" i="323"/>
  <c r="J145" i="323"/>
  <c r="I145" i="323"/>
  <c r="A145" i="323"/>
  <c r="J144" i="323"/>
  <c r="I144" i="323"/>
  <c r="A144" i="323"/>
  <c r="J143" i="323"/>
  <c r="I143" i="323"/>
  <c r="A143" i="323"/>
  <c r="J142" i="323"/>
  <c r="I142" i="323"/>
  <c r="A142" i="323"/>
  <c r="J141" i="323"/>
  <c r="I141" i="323"/>
  <c r="A141" i="323"/>
  <c r="J140" i="323"/>
  <c r="I140" i="323"/>
  <c r="A140" i="323"/>
  <c r="J139" i="323"/>
  <c r="I139" i="323"/>
  <c r="A139" i="323"/>
  <c r="K138" i="323"/>
  <c r="J138" i="323"/>
  <c r="I138" i="323"/>
  <c r="H138" i="323"/>
  <c r="G138" i="323"/>
  <c r="F138" i="323"/>
  <c r="E138" i="323"/>
  <c r="D138" i="323"/>
  <c r="C138" i="323"/>
  <c r="A138" i="323"/>
  <c r="J137" i="323"/>
  <c r="I137" i="323"/>
  <c r="A137" i="323"/>
  <c r="J136" i="323"/>
  <c r="I136" i="323"/>
  <c r="A136" i="323"/>
  <c r="J135" i="323"/>
  <c r="I135" i="323"/>
  <c r="A135" i="323"/>
  <c r="J134" i="323"/>
  <c r="I134" i="323"/>
  <c r="A134" i="323"/>
  <c r="J133" i="323"/>
  <c r="I133" i="323"/>
  <c r="A133" i="323"/>
  <c r="J132" i="323"/>
  <c r="I132" i="323"/>
  <c r="A132" i="323"/>
  <c r="J131" i="323"/>
  <c r="I131" i="323"/>
  <c r="A131" i="323"/>
  <c r="J130" i="323"/>
  <c r="I130" i="323"/>
  <c r="A130" i="323"/>
  <c r="J129" i="323"/>
  <c r="I129" i="323"/>
  <c r="A129" i="323"/>
  <c r="J128" i="323"/>
  <c r="I128" i="323"/>
  <c r="A128" i="323"/>
  <c r="K127" i="323"/>
  <c r="J127" i="323"/>
  <c r="I127" i="323"/>
  <c r="H127" i="323"/>
  <c r="G127" i="323"/>
  <c r="F127" i="323"/>
  <c r="E127" i="323"/>
  <c r="D127" i="323"/>
  <c r="C127" i="323"/>
  <c r="A127" i="323"/>
  <c r="J126" i="323"/>
  <c r="I126" i="323"/>
  <c r="A126" i="323"/>
  <c r="J125" i="323"/>
  <c r="I125" i="323"/>
  <c r="A125" i="323"/>
  <c r="J124" i="323"/>
  <c r="I124" i="323"/>
  <c r="A124" i="323"/>
  <c r="J123" i="323"/>
  <c r="I123" i="323"/>
  <c r="A123" i="323"/>
  <c r="J122" i="323"/>
  <c r="I122" i="323"/>
  <c r="A122" i="323"/>
  <c r="J121" i="323"/>
  <c r="I121" i="323"/>
  <c r="A121" i="323"/>
  <c r="J120" i="323"/>
  <c r="I120" i="323"/>
  <c r="A120" i="323"/>
  <c r="J119" i="323"/>
  <c r="I119" i="323"/>
  <c r="A119" i="323"/>
  <c r="J118" i="323"/>
  <c r="I118" i="323"/>
  <c r="A118" i="323"/>
  <c r="J117" i="323"/>
  <c r="I117" i="323"/>
  <c r="A117" i="323"/>
  <c r="K116" i="323"/>
  <c r="J116" i="323"/>
  <c r="I116" i="323"/>
  <c r="H116" i="323"/>
  <c r="G116" i="323"/>
  <c r="F116" i="323"/>
  <c r="E116" i="323"/>
  <c r="D116" i="323"/>
  <c r="C116" i="323"/>
  <c r="A116" i="323"/>
  <c r="J115" i="323"/>
  <c r="I115" i="323"/>
  <c r="A115" i="323"/>
  <c r="J114" i="323"/>
  <c r="I114" i="323"/>
  <c r="A114" i="323"/>
  <c r="J113" i="323"/>
  <c r="I113" i="323"/>
  <c r="A113" i="323"/>
  <c r="J112" i="323"/>
  <c r="I112" i="323"/>
  <c r="A112" i="323"/>
  <c r="J111" i="323"/>
  <c r="I111" i="323"/>
  <c r="A111" i="323"/>
  <c r="J110" i="323"/>
  <c r="I110" i="323"/>
  <c r="A110" i="323"/>
  <c r="J109" i="323"/>
  <c r="I109" i="323"/>
  <c r="A109" i="323"/>
  <c r="J108" i="323"/>
  <c r="I108" i="323"/>
  <c r="A108" i="323"/>
  <c r="J107" i="323"/>
  <c r="I107" i="323"/>
  <c r="A107" i="323"/>
  <c r="J106" i="323"/>
  <c r="I106" i="323"/>
  <c r="A106" i="323"/>
  <c r="K105" i="323"/>
  <c r="J105" i="323"/>
  <c r="I105" i="323"/>
  <c r="H105" i="323"/>
  <c r="G105" i="323"/>
  <c r="F105" i="323"/>
  <c r="E105" i="323"/>
  <c r="D105" i="323"/>
  <c r="C105" i="323"/>
  <c r="A105" i="323"/>
  <c r="J104" i="323"/>
  <c r="I104" i="323"/>
  <c r="A104" i="323"/>
  <c r="J103" i="323"/>
  <c r="I103" i="323"/>
  <c r="A103" i="323"/>
  <c r="J102" i="323"/>
  <c r="I102" i="323"/>
  <c r="A102" i="323"/>
  <c r="J101" i="323"/>
  <c r="I101" i="323"/>
  <c r="A101" i="323"/>
  <c r="J100" i="323"/>
  <c r="I100" i="323"/>
  <c r="A100" i="323"/>
  <c r="J99" i="323"/>
  <c r="I99" i="323"/>
  <c r="A99" i="323"/>
  <c r="J98" i="323"/>
  <c r="I98" i="323"/>
  <c r="A98" i="323"/>
  <c r="J97" i="323"/>
  <c r="I97" i="323"/>
  <c r="A97" i="323"/>
  <c r="J96" i="323"/>
  <c r="I96" i="323"/>
  <c r="A96" i="323"/>
  <c r="J95" i="323"/>
  <c r="I95" i="323"/>
  <c r="A95" i="323"/>
  <c r="K94" i="323"/>
  <c r="J94" i="323"/>
  <c r="I94" i="323"/>
  <c r="H94" i="323"/>
  <c r="G94" i="323"/>
  <c r="F94" i="323"/>
  <c r="E94" i="323"/>
  <c r="D94" i="323"/>
  <c r="C94" i="323"/>
  <c r="A94" i="323"/>
  <c r="J93" i="323"/>
  <c r="I93" i="323"/>
  <c r="A93" i="323"/>
  <c r="J92" i="323"/>
  <c r="I92" i="323"/>
  <c r="A92" i="323"/>
  <c r="J91" i="323"/>
  <c r="I91" i="323"/>
  <c r="A91" i="323"/>
  <c r="J90" i="323"/>
  <c r="I90" i="323"/>
  <c r="A90" i="323"/>
  <c r="J89" i="323"/>
  <c r="I89" i="323"/>
  <c r="A89" i="323"/>
  <c r="J88" i="323"/>
  <c r="I88" i="323"/>
  <c r="A88" i="323"/>
  <c r="J87" i="323"/>
  <c r="I87" i="323"/>
  <c r="A87" i="323"/>
  <c r="J86" i="323"/>
  <c r="I86" i="323"/>
  <c r="A86" i="323"/>
  <c r="J85" i="323"/>
  <c r="I85" i="323"/>
  <c r="A85" i="323"/>
  <c r="J84" i="323"/>
  <c r="I84" i="323"/>
  <c r="A84" i="323"/>
  <c r="K83" i="323"/>
  <c r="J83" i="323"/>
  <c r="I83" i="323"/>
  <c r="H83" i="323"/>
  <c r="G83" i="323"/>
  <c r="F83" i="323"/>
  <c r="E83" i="323"/>
  <c r="D83" i="323"/>
  <c r="C83" i="323"/>
  <c r="A83" i="323"/>
  <c r="J82" i="323"/>
  <c r="I82" i="323"/>
  <c r="A82" i="323"/>
  <c r="J81" i="323"/>
  <c r="I81" i="323"/>
  <c r="A81" i="323"/>
  <c r="J80" i="323"/>
  <c r="I80" i="323"/>
  <c r="A80" i="323"/>
  <c r="J79" i="323"/>
  <c r="I79" i="323"/>
  <c r="A79" i="323"/>
  <c r="J78" i="323"/>
  <c r="I78" i="323"/>
  <c r="A78" i="323"/>
  <c r="J77" i="323"/>
  <c r="I77" i="323"/>
  <c r="A77" i="323"/>
  <c r="J76" i="323"/>
  <c r="I76" i="323"/>
  <c r="A76" i="323"/>
  <c r="J75" i="323"/>
  <c r="I75" i="323"/>
  <c r="A75" i="323"/>
  <c r="J74" i="323"/>
  <c r="I74" i="323"/>
  <c r="A74" i="323"/>
  <c r="J73" i="323"/>
  <c r="I73" i="323"/>
  <c r="A73" i="323"/>
  <c r="K72" i="323"/>
  <c r="J72" i="323"/>
  <c r="I72" i="323"/>
  <c r="H72" i="323"/>
  <c r="G72" i="323"/>
  <c r="F72" i="323"/>
  <c r="E72" i="323"/>
  <c r="D72" i="323"/>
  <c r="C72" i="323"/>
  <c r="A72" i="323"/>
  <c r="J71" i="323"/>
  <c r="I71" i="323"/>
  <c r="A71" i="323"/>
  <c r="J70" i="323"/>
  <c r="I70" i="323"/>
  <c r="A70" i="323"/>
  <c r="J69" i="323"/>
  <c r="I69" i="323"/>
  <c r="A69" i="323"/>
  <c r="J68" i="323"/>
  <c r="I68" i="323"/>
  <c r="A68" i="323"/>
  <c r="J67" i="323"/>
  <c r="I67" i="323"/>
  <c r="A67" i="323"/>
  <c r="J66" i="323"/>
  <c r="I66" i="323"/>
  <c r="A66" i="323"/>
  <c r="K65" i="323"/>
  <c r="I65" i="323"/>
  <c r="J65" i="323" s="1"/>
  <c r="H65" i="323"/>
  <c r="A65" i="323"/>
  <c r="K64" i="323"/>
  <c r="J64" i="323"/>
  <c r="I64" i="323"/>
  <c r="H64" i="323"/>
  <c r="A64" i="323"/>
  <c r="K63" i="323"/>
  <c r="I63" i="323"/>
  <c r="J63" i="323" s="1"/>
  <c r="H63" i="323"/>
  <c r="A63" i="323"/>
  <c r="I62" i="323"/>
  <c r="J62" i="323" s="1"/>
  <c r="A62" i="323"/>
  <c r="K61" i="323"/>
  <c r="H61" i="323"/>
  <c r="G61" i="323"/>
  <c r="I61" i="323" s="1"/>
  <c r="J61" i="323" s="1"/>
  <c r="F61" i="323"/>
  <c r="E61" i="323"/>
  <c r="D61" i="323"/>
  <c r="C61" i="323"/>
  <c r="A61" i="323"/>
  <c r="J60" i="323"/>
  <c r="I60" i="323"/>
  <c r="A60" i="323"/>
  <c r="J59" i="323"/>
  <c r="I59" i="323"/>
  <c r="A59" i="323"/>
  <c r="J58" i="323"/>
  <c r="I58" i="323"/>
  <c r="A58" i="323"/>
  <c r="J57" i="323"/>
  <c r="I57" i="323"/>
  <c r="A57" i="323"/>
  <c r="J56" i="323"/>
  <c r="I56" i="323"/>
  <c r="A56" i="323"/>
  <c r="J55" i="323"/>
  <c r="I55" i="323"/>
  <c r="A55" i="323"/>
  <c r="K54" i="323"/>
  <c r="I54" i="323"/>
  <c r="J54" i="323" s="1"/>
  <c r="H54" i="323"/>
  <c r="A54" i="323"/>
  <c r="K53" i="323"/>
  <c r="J53" i="323"/>
  <c r="I53" i="323"/>
  <c r="H53" i="323"/>
  <c r="A53" i="323"/>
  <c r="K52" i="323"/>
  <c r="I52" i="323"/>
  <c r="J52" i="323" s="1"/>
  <c r="H52" i="323"/>
  <c r="A52" i="323"/>
  <c r="K51" i="323"/>
  <c r="J51" i="323"/>
  <c r="I51" i="323"/>
  <c r="H51" i="323"/>
  <c r="A51" i="323"/>
  <c r="K50" i="323"/>
  <c r="H50" i="323"/>
  <c r="G50" i="323"/>
  <c r="G10" i="272" s="1"/>
  <c r="I10" i="272" s="1"/>
  <c r="J10" i="272" s="1"/>
  <c r="F50" i="323"/>
  <c r="E50" i="323"/>
  <c r="D50" i="323"/>
  <c r="C50" i="323"/>
  <c r="A50" i="323"/>
  <c r="J49" i="323"/>
  <c r="I49" i="323"/>
  <c r="A49" i="323"/>
  <c r="J48" i="323"/>
  <c r="I48" i="323"/>
  <c r="A48" i="323"/>
  <c r="J47" i="323"/>
  <c r="I47" i="323"/>
  <c r="A47" i="323"/>
  <c r="J46" i="323"/>
  <c r="I46" i="323"/>
  <c r="A46" i="323"/>
  <c r="J45" i="323"/>
  <c r="I45" i="323"/>
  <c r="A45" i="323"/>
  <c r="J44" i="323"/>
  <c r="I44" i="323"/>
  <c r="A44" i="323"/>
  <c r="I43" i="323"/>
  <c r="J43" i="323" s="1"/>
  <c r="A43" i="323"/>
  <c r="K42" i="323"/>
  <c r="I42" i="323"/>
  <c r="J42" i="323" s="1"/>
  <c r="H42" i="323"/>
  <c r="A42" i="323"/>
  <c r="K41" i="323"/>
  <c r="I41" i="323"/>
  <c r="J41" i="323" s="1"/>
  <c r="H41" i="323"/>
  <c r="A41" i="323"/>
  <c r="K40" i="323"/>
  <c r="J40" i="323"/>
  <c r="I40" i="323"/>
  <c r="H40" i="323"/>
  <c r="A40" i="323"/>
  <c r="K39" i="323"/>
  <c r="H39" i="323"/>
  <c r="G39" i="323"/>
  <c r="G9" i="272" s="1"/>
  <c r="I9" i="272" s="1"/>
  <c r="J9" i="272" s="1"/>
  <c r="F39" i="323"/>
  <c r="F9" i="272" s="1"/>
  <c r="E39" i="323"/>
  <c r="D39" i="323"/>
  <c r="C39" i="323"/>
  <c r="A39" i="323"/>
  <c r="J38" i="323"/>
  <c r="I38" i="323"/>
  <c r="A38" i="323"/>
  <c r="J37" i="323"/>
  <c r="I37" i="323"/>
  <c r="A37" i="323"/>
  <c r="J36" i="323"/>
  <c r="I36" i="323"/>
  <c r="A36" i="323"/>
  <c r="J35" i="323"/>
  <c r="I35" i="323"/>
  <c r="A35" i="323"/>
  <c r="J34" i="323"/>
  <c r="I34" i="323"/>
  <c r="A34" i="323"/>
  <c r="J33" i="323"/>
  <c r="I33" i="323"/>
  <c r="A33" i="323"/>
  <c r="K32" i="323"/>
  <c r="I32" i="323"/>
  <c r="J32" i="323" s="1"/>
  <c r="H32" i="323"/>
  <c r="A32" i="323"/>
  <c r="K31" i="323"/>
  <c r="J31" i="323"/>
  <c r="I31" i="323"/>
  <c r="H31" i="323"/>
  <c r="A31" i="323"/>
  <c r="K30" i="323"/>
  <c r="I30" i="323"/>
  <c r="J30" i="323" s="1"/>
  <c r="H30" i="323"/>
  <c r="A30" i="323"/>
  <c r="K29" i="323"/>
  <c r="J29" i="323"/>
  <c r="I29" i="323"/>
  <c r="H29" i="323"/>
  <c r="A29" i="323"/>
  <c r="K28" i="323"/>
  <c r="I28" i="323"/>
  <c r="J28" i="323" s="1"/>
  <c r="H28" i="323"/>
  <c r="G28" i="323"/>
  <c r="G8" i="272" s="1"/>
  <c r="I8" i="272" s="1"/>
  <c r="J8" i="272" s="1"/>
  <c r="F28" i="323"/>
  <c r="E28" i="323"/>
  <c r="D28" i="323"/>
  <c r="C28" i="323"/>
  <c r="A28" i="323"/>
  <c r="J27" i="323"/>
  <c r="I27" i="323"/>
  <c r="A27" i="323"/>
  <c r="J26" i="323"/>
  <c r="I26" i="323"/>
  <c r="A26" i="323"/>
  <c r="J25" i="323"/>
  <c r="I25" i="323"/>
  <c r="A25" i="323"/>
  <c r="J24" i="323"/>
  <c r="I24" i="323"/>
  <c r="A24" i="323"/>
  <c r="J23" i="323"/>
  <c r="I23" i="323"/>
  <c r="A23" i="323"/>
  <c r="I22" i="323"/>
  <c r="J22" i="323" s="1"/>
  <c r="A22" i="323"/>
  <c r="K21" i="323"/>
  <c r="I21" i="323"/>
  <c r="J21" i="323" s="1"/>
  <c r="H21" i="323"/>
  <c r="A21" i="323"/>
  <c r="I20" i="323"/>
  <c r="J20" i="323" s="1"/>
  <c r="A20" i="323"/>
  <c r="K19" i="323"/>
  <c r="I19" i="323"/>
  <c r="J19" i="323" s="1"/>
  <c r="H19" i="323"/>
  <c r="A19" i="323"/>
  <c r="I18" i="323"/>
  <c r="J18" i="323" s="1"/>
  <c r="A18" i="323"/>
  <c r="K17" i="323"/>
  <c r="H17" i="323"/>
  <c r="G17" i="323"/>
  <c r="F17" i="323"/>
  <c r="F7" i="272" s="1"/>
  <c r="E17" i="323"/>
  <c r="D17" i="323"/>
  <c r="C17" i="323"/>
  <c r="A17" i="323"/>
  <c r="J16" i="323"/>
  <c r="I16" i="323"/>
  <c r="A16" i="323"/>
  <c r="J15" i="323"/>
  <c r="I15" i="323"/>
  <c r="A15" i="323"/>
  <c r="J14" i="323"/>
  <c r="I14" i="323"/>
  <c r="A14" i="323"/>
  <c r="J13" i="323"/>
  <c r="I13" i="323"/>
  <c r="A13" i="323"/>
  <c r="J12" i="323"/>
  <c r="I12" i="323"/>
  <c r="A12" i="323"/>
  <c r="J11" i="323"/>
  <c r="I11" i="323"/>
  <c r="A11" i="323"/>
  <c r="J10" i="323"/>
  <c r="I10" i="323"/>
  <c r="A10" i="323"/>
  <c r="J9" i="323"/>
  <c r="I9" i="323"/>
  <c r="A9" i="323"/>
  <c r="K8" i="323"/>
  <c r="J8" i="323"/>
  <c r="I8" i="323"/>
  <c r="H8" i="323"/>
  <c r="A8" i="323"/>
  <c r="J7" i="323"/>
  <c r="I7" i="323"/>
  <c r="A7" i="323"/>
  <c r="K6" i="323"/>
  <c r="J6" i="323"/>
  <c r="I6" i="323"/>
  <c r="H6" i="323"/>
  <c r="G6" i="323"/>
  <c r="F6" i="323"/>
  <c r="E6" i="323"/>
  <c r="D6" i="323"/>
  <c r="C6" i="323"/>
  <c r="A6" i="323"/>
  <c r="W3" i="323"/>
  <c r="V3" i="323"/>
  <c r="U3" i="323"/>
  <c r="T3" i="323"/>
  <c r="S3" i="323"/>
  <c r="R3" i="323"/>
  <c r="Q3" i="323"/>
  <c r="P3" i="323"/>
  <c r="O3" i="323"/>
  <c r="N3" i="323"/>
  <c r="M3" i="323"/>
  <c r="L3" i="323"/>
  <c r="K3" i="323"/>
  <c r="J3" i="323"/>
  <c r="I3" i="323"/>
  <c r="H3" i="323"/>
  <c r="G3" i="323"/>
  <c r="F3" i="323"/>
  <c r="E3" i="323"/>
  <c r="D3" i="323"/>
  <c r="C3" i="323"/>
  <c r="L2" i="323"/>
  <c r="D2" i="323"/>
  <c r="C2" i="323"/>
  <c r="B2" i="323"/>
  <c r="A2" i="323"/>
  <c r="A1" i="323"/>
  <c r="A41" i="272"/>
  <c r="K40" i="272"/>
  <c r="H40" i="272"/>
  <c r="E40" i="272"/>
  <c r="D40" i="272"/>
  <c r="C40" i="272"/>
  <c r="A40" i="272"/>
  <c r="K39" i="272"/>
  <c r="H39" i="272"/>
  <c r="E39" i="272"/>
  <c r="D39" i="272"/>
  <c r="C39" i="272"/>
  <c r="K38" i="272"/>
  <c r="J38" i="272"/>
  <c r="I38" i="272"/>
  <c r="H38" i="272"/>
  <c r="G38" i="272"/>
  <c r="F38" i="272"/>
  <c r="E38" i="272"/>
  <c r="D38" i="272"/>
  <c r="C38" i="272"/>
  <c r="A38" i="272"/>
  <c r="K37" i="272"/>
  <c r="J37" i="272"/>
  <c r="I37" i="272"/>
  <c r="H37" i="272"/>
  <c r="G37" i="272"/>
  <c r="F37" i="272"/>
  <c r="E37" i="272"/>
  <c r="D37" i="272"/>
  <c r="C37" i="272"/>
  <c r="A37" i="272"/>
  <c r="K36" i="272"/>
  <c r="J36" i="272"/>
  <c r="I36" i="272"/>
  <c r="H36" i="272"/>
  <c r="G36" i="272"/>
  <c r="F36" i="272"/>
  <c r="E36" i="272"/>
  <c r="D36" i="272"/>
  <c r="C36" i="272"/>
  <c r="A36" i="272"/>
  <c r="K35" i="272"/>
  <c r="J35" i="272"/>
  <c r="I35" i="272"/>
  <c r="H35" i="272"/>
  <c r="G35" i="272"/>
  <c r="F35" i="272"/>
  <c r="E35" i="272"/>
  <c r="D35" i="272"/>
  <c r="C35" i="272"/>
  <c r="A35" i="272"/>
  <c r="K34" i="272"/>
  <c r="J34" i="272"/>
  <c r="I34" i="272"/>
  <c r="H34" i="272"/>
  <c r="G34" i="272"/>
  <c r="F34" i="272"/>
  <c r="E34" i="272"/>
  <c r="D34" i="272"/>
  <c r="C34" i="272"/>
  <c r="A34" i="272"/>
  <c r="K33" i="272"/>
  <c r="J33" i="272"/>
  <c r="I33" i="272"/>
  <c r="H33" i="272"/>
  <c r="G33" i="272"/>
  <c r="F33" i="272"/>
  <c r="E33" i="272"/>
  <c r="D33" i="272"/>
  <c r="C33" i="272"/>
  <c r="A33" i="272"/>
  <c r="K32" i="272"/>
  <c r="J32" i="272"/>
  <c r="I32" i="272"/>
  <c r="H32" i="272"/>
  <c r="G32" i="272"/>
  <c r="F32" i="272"/>
  <c r="E32" i="272"/>
  <c r="D32" i="272"/>
  <c r="C32" i="272"/>
  <c r="A32" i="272"/>
  <c r="K31" i="272"/>
  <c r="J31" i="272"/>
  <c r="I31" i="272"/>
  <c r="H31" i="272"/>
  <c r="G31" i="272"/>
  <c r="F31" i="272"/>
  <c r="E31" i="272"/>
  <c r="D31" i="272"/>
  <c r="C31" i="272"/>
  <c r="A31" i="272"/>
  <c r="K30" i="272"/>
  <c r="J30" i="272"/>
  <c r="I30" i="272"/>
  <c r="H30" i="272"/>
  <c r="G30" i="272"/>
  <c r="F30" i="272"/>
  <c r="E30" i="272"/>
  <c r="D30" i="272"/>
  <c r="C30" i="272"/>
  <c r="A30" i="272"/>
  <c r="K29" i="272"/>
  <c r="I29" i="272"/>
  <c r="J29" i="272" s="1"/>
  <c r="H29" i="272"/>
  <c r="G29" i="272"/>
  <c r="F29" i="272"/>
  <c r="E29" i="272"/>
  <c r="D29" i="272"/>
  <c r="C29" i="272"/>
  <c r="A29" i="272"/>
  <c r="K28" i="272"/>
  <c r="I28" i="272"/>
  <c r="J28" i="272" s="1"/>
  <c r="H28" i="272"/>
  <c r="G28" i="272"/>
  <c r="E28" i="272"/>
  <c r="D28" i="272"/>
  <c r="C28" i="272"/>
  <c r="A28" i="272"/>
  <c r="K27" i="272"/>
  <c r="I27" i="272"/>
  <c r="J27" i="272" s="1"/>
  <c r="H27" i="272"/>
  <c r="G27" i="272"/>
  <c r="E27" i="272"/>
  <c r="D27" i="272"/>
  <c r="C27" i="272"/>
  <c r="A27" i="272"/>
  <c r="K26" i="272"/>
  <c r="H26" i="272"/>
  <c r="G26" i="272"/>
  <c r="I26" i="272" s="1"/>
  <c r="J26" i="272" s="1"/>
  <c r="F26" i="272"/>
  <c r="E26" i="272"/>
  <c r="D26" i="272"/>
  <c r="C26" i="272"/>
  <c r="A26" i="272"/>
  <c r="K25" i="272"/>
  <c r="I25" i="272"/>
  <c r="J25" i="272" s="1"/>
  <c r="H25" i="272"/>
  <c r="G25" i="272"/>
  <c r="F25" i="272"/>
  <c r="E25" i="272"/>
  <c r="D25" i="272"/>
  <c r="C25" i="272"/>
  <c r="A25" i="272"/>
  <c r="K24" i="272"/>
  <c r="H24" i="272"/>
  <c r="G24" i="272"/>
  <c r="I24" i="272" s="1"/>
  <c r="F24" i="272"/>
  <c r="E24" i="272"/>
  <c r="D24" i="272"/>
  <c r="C24" i="272"/>
  <c r="A24" i="272"/>
  <c r="K21" i="272"/>
  <c r="H21" i="272"/>
  <c r="E21" i="272"/>
  <c r="D21" i="272"/>
  <c r="C21" i="272"/>
  <c r="K20" i="272"/>
  <c r="J20" i="272"/>
  <c r="I20" i="272"/>
  <c r="H20" i="272"/>
  <c r="G20" i="272"/>
  <c r="F20" i="272"/>
  <c r="E20" i="272"/>
  <c r="D20" i="272"/>
  <c r="C20" i="272"/>
  <c r="A20" i="272"/>
  <c r="K19" i="272"/>
  <c r="J19" i="272"/>
  <c r="I19" i="272"/>
  <c r="H19" i="272"/>
  <c r="G19" i="272"/>
  <c r="F19" i="272"/>
  <c r="E19" i="272"/>
  <c r="D19" i="272"/>
  <c r="C19" i="272"/>
  <c r="A19" i="272"/>
  <c r="K18" i="272"/>
  <c r="J18" i="272"/>
  <c r="I18" i="272"/>
  <c r="H18" i="272"/>
  <c r="G18" i="272"/>
  <c r="F18" i="272"/>
  <c r="E18" i="272"/>
  <c r="D18" i="272"/>
  <c r="C18" i="272"/>
  <c r="A18" i="272"/>
  <c r="K17" i="272"/>
  <c r="J17" i="272"/>
  <c r="I17" i="272"/>
  <c r="H17" i="272"/>
  <c r="G17" i="272"/>
  <c r="F17" i="272"/>
  <c r="E17" i="272"/>
  <c r="D17" i="272"/>
  <c r="C17" i="272"/>
  <c r="A17" i="272"/>
  <c r="K16" i="272"/>
  <c r="J16" i="272"/>
  <c r="I16" i="272"/>
  <c r="H16" i="272"/>
  <c r="G16" i="272"/>
  <c r="F16" i="272"/>
  <c r="E16" i="272"/>
  <c r="D16" i="272"/>
  <c r="C16" i="272"/>
  <c r="A16" i="272"/>
  <c r="K15" i="272"/>
  <c r="J15" i="272"/>
  <c r="I15" i="272"/>
  <c r="H15" i="272"/>
  <c r="G15" i="272"/>
  <c r="F15" i="272"/>
  <c r="E15" i="272"/>
  <c r="D15" i="272"/>
  <c r="C15" i="272"/>
  <c r="A15" i="272"/>
  <c r="K14" i="272"/>
  <c r="J14" i="272"/>
  <c r="I14" i="272"/>
  <c r="H14" i="272"/>
  <c r="G14" i="272"/>
  <c r="F14" i="272"/>
  <c r="E14" i="272"/>
  <c r="D14" i="272"/>
  <c r="C14" i="272"/>
  <c r="A14" i="272"/>
  <c r="K13" i="272"/>
  <c r="J13" i="272"/>
  <c r="I13" i="272"/>
  <c r="H13" i="272"/>
  <c r="G13" i="272"/>
  <c r="F13" i="272"/>
  <c r="E13" i="272"/>
  <c r="D13" i="272"/>
  <c r="C13" i="272"/>
  <c r="A13" i="272"/>
  <c r="K12" i="272"/>
  <c r="J12" i="272"/>
  <c r="I12" i="272"/>
  <c r="H12" i="272"/>
  <c r="G12" i="272"/>
  <c r="F12" i="272"/>
  <c r="E12" i="272"/>
  <c r="D12" i="272"/>
  <c r="C12" i="272"/>
  <c r="A12" i="272"/>
  <c r="K11" i="272"/>
  <c r="H11" i="272"/>
  <c r="G11" i="272"/>
  <c r="I11" i="272" s="1"/>
  <c r="J11" i="272" s="1"/>
  <c r="F11" i="272"/>
  <c r="E11" i="272"/>
  <c r="D11" i="272"/>
  <c r="C11" i="272"/>
  <c r="A11" i="272"/>
  <c r="K10" i="272"/>
  <c r="H10" i="272"/>
  <c r="F10" i="272"/>
  <c r="E10" i="272"/>
  <c r="D10" i="272"/>
  <c r="C10" i="272"/>
  <c r="A10" i="272"/>
  <c r="K9" i="272"/>
  <c r="H9" i="272"/>
  <c r="E9" i="272"/>
  <c r="D9" i="272"/>
  <c r="C9" i="272"/>
  <c r="A9" i="272"/>
  <c r="K8" i="272"/>
  <c r="H8" i="272"/>
  <c r="F8" i="272"/>
  <c r="E8" i="272"/>
  <c r="D8" i="272"/>
  <c r="C8" i="272"/>
  <c r="A8" i="272"/>
  <c r="K7" i="272"/>
  <c r="I7" i="272"/>
  <c r="H7" i="272"/>
  <c r="G7" i="272"/>
  <c r="E7" i="272"/>
  <c r="D7" i="272"/>
  <c r="C7" i="272"/>
  <c r="A7" i="272"/>
  <c r="K6" i="272"/>
  <c r="J6" i="272"/>
  <c r="I6" i="272"/>
  <c r="H6" i="272"/>
  <c r="G6" i="272"/>
  <c r="F6" i="272"/>
  <c r="E6" i="272"/>
  <c r="D6" i="272"/>
  <c r="C6" i="272"/>
  <c r="A6" i="272"/>
  <c r="K3" i="272"/>
  <c r="J3" i="272"/>
  <c r="I3" i="272"/>
  <c r="H3" i="272"/>
  <c r="G3" i="272"/>
  <c r="F3" i="272"/>
  <c r="E3" i="272"/>
  <c r="D3" i="272"/>
  <c r="C3" i="272"/>
  <c r="D2" i="272"/>
  <c r="C2" i="272"/>
  <c r="B2" i="272"/>
  <c r="A2" i="272"/>
  <c r="A1" i="272"/>
  <c r="K257" i="330"/>
  <c r="H257" i="330"/>
  <c r="E257" i="330"/>
  <c r="D257" i="330"/>
  <c r="C257" i="330"/>
  <c r="K256" i="330"/>
  <c r="H256" i="330"/>
  <c r="E256" i="330"/>
  <c r="D256" i="330"/>
  <c r="C256" i="330"/>
  <c r="A249" i="330"/>
  <c r="K248" i="330"/>
  <c r="H248" i="330"/>
  <c r="E248" i="330"/>
  <c r="D248" i="330"/>
  <c r="C248" i="330"/>
  <c r="A248" i="330"/>
  <c r="K247" i="330"/>
  <c r="H247" i="330"/>
  <c r="E247" i="330"/>
  <c r="D247" i="330"/>
  <c r="C247" i="330"/>
  <c r="A247" i="330"/>
  <c r="K246" i="330"/>
  <c r="J246" i="330"/>
  <c r="I246" i="330"/>
  <c r="H246" i="330"/>
  <c r="A246" i="330"/>
  <c r="K245" i="330"/>
  <c r="I245" i="330"/>
  <c r="J245" i="330" s="1"/>
  <c r="H245" i="330"/>
  <c r="A245" i="330"/>
  <c r="K244" i="330"/>
  <c r="I244" i="330"/>
  <c r="J244" i="330" s="1"/>
  <c r="H244" i="330"/>
  <c r="A244" i="330"/>
  <c r="K243" i="330"/>
  <c r="J243" i="330"/>
  <c r="I243" i="330"/>
  <c r="H243" i="330"/>
  <c r="A243" i="330"/>
  <c r="K242" i="330"/>
  <c r="I242" i="330"/>
  <c r="J242" i="330" s="1"/>
  <c r="H242" i="330"/>
  <c r="A242" i="330"/>
  <c r="J241" i="330"/>
  <c r="I241" i="330"/>
  <c r="A241" i="330"/>
  <c r="K240" i="330"/>
  <c r="I240" i="330"/>
  <c r="J240" i="330" s="1"/>
  <c r="H240" i="330"/>
  <c r="G240" i="330"/>
  <c r="F240" i="330"/>
  <c r="E240" i="330"/>
  <c r="D240" i="330"/>
  <c r="C240" i="330"/>
  <c r="A240" i="330"/>
  <c r="J239" i="330"/>
  <c r="I239" i="330"/>
  <c r="A239" i="330"/>
  <c r="K238" i="330"/>
  <c r="I238" i="330"/>
  <c r="J238" i="330" s="1"/>
  <c r="H238" i="330"/>
  <c r="A238" i="330"/>
  <c r="K237" i="330"/>
  <c r="I237" i="330"/>
  <c r="J237" i="330" s="1"/>
  <c r="H237" i="330"/>
  <c r="A237" i="330"/>
  <c r="J236" i="330"/>
  <c r="I236" i="330"/>
  <c r="A236" i="330"/>
  <c r="K235" i="330"/>
  <c r="I235" i="330"/>
  <c r="J235" i="330" s="1"/>
  <c r="H235" i="330"/>
  <c r="G235" i="330"/>
  <c r="F235" i="330"/>
  <c r="E235" i="330"/>
  <c r="D235" i="330"/>
  <c r="C235" i="330"/>
  <c r="A235" i="330"/>
  <c r="K234" i="330"/>
  <c r="J234" i="330"/>
  <c r="I234" i="330"/>
  <c r="H234" i="330"/>
  <c r="A234" i="330"/>
  <c r="K233" i="330"/>
  <c r="I233" i="330"/>
  <c r="J233" i="330" s="1"/>
  <c r="H233" i="330"/>
  <c r="A233" i="330"/>
  <c r="K232" i="330"/>
  <c r="J232" i="330"/>
  <c r="I232" i="330"/>
  <c r="H232" i="330"/>
  <c r="A232" i="330"/>
  <c r="K231" i="330"/>
  <c r="I231" i="330"/>
  <c r="J231" i="330" s="1"/>
  <c r="H231" i="330"/>
  <c r="A231" i="330"/>
  <c r="K230" i="330"/>
  <c r="H230" i="330"/>
  <c r="G230" i="330"/>
  <c r="I230" i="330" s="1"/>
  <c r="J230" i="330" s="1"/>
  <c r="F230" i="330"/>
  <c r="E230" i="330"/>
  <c r="D230" i="330"/>
  <c r="C230" i="330"/>
  <c r="A230" i="330"/>
  <c r="J229" i="330"/>
  <c r="I229" i="330"/>
  <c r="A229" i="330"/>
  <c r="J228" i="330"/>
  <c r="I228" i="330"/>
  <c r="A228" i="330"/>
  <c r="J227" i="330"/>
  <c r="I227" i="330"/>
  <c r="A227" i="330"/>
  <c r="K226" i="330"/>
  <c r="H226" i="330"/>
  <c r="G226" i="330"/>
  <c r="G221" i="330" s="1"/>
  <c r="F226" i="330"/>
  <c r="E226" i="330"/>
  <c r="D226" i="330"/>
  <c r="C226" i="330"/>
  <c r="A226" i="330"/>
  <c r="J225" i="330"/>
  <c r="I225" i="330"/>
  <c r="A225" i="330"/>
  <c r="K224" i="330"/>
  <c r="I224" i="330"/>
  <c r="J224" i="330" s="1"/>
  <c r="H224" i="330"/>
  <c r="A224" i="330"/>
  <c r="K223" i="330"/>
  <c r="J223" i="330"/>
  <c r="I223" i="330"/>
  <c r="H223" i="330"/>
  <c r="A223" i="330"/>
  <c r="K222" i="330"/>
  <c r="I222" i="330"/>
  <c r="J222" i="330" s="1"/>
  <c r="H222" i="330"/>
  <c r="G222" i="330"/>
  <c r="G44" i="241" s="1"/>
  <c r="F222" i="330"/>
  <c r="E222" i="330"/>
  <c r="D222" i="330"/>
  <c r="C222" i="330"/>
  <c r="A222" i="330"/>
  <c r="K221" i="330"/>
  <c r="H221" i="330"/>
  <c r="F221" i="330"/>
  <c r="E221" i="330"/>
  <c r="D221" i="330"/>
  <c r="C221" i="330"/>
  <c r="A221" i="330"/>
  <c r="J220" i="330"/>
  <c r="I220" i="330"/>
  <c r="A220" i="330"/>
  <c r="K219" i="330"/>
  <c r="I219" i="330"/>
  <c r="J219" i="330" s="1"/>
  <c r="H219" i="330"/>
  <c r="A219" i="330"/>
  <c r="K218" i="330"/>
  <c r="I218" i="330"/>
  <c r="J218" i="330" s="1"/>
  <c r="H218" i="330"/>
  <c r="A218" i="330"/>
  <c r="J217" i="330"/>
  <c r="I217" i="330"/>
  <c r="A217" i="330"/>
  <c r="J216" i="330"/>
  <c r="I216" i="330"/>
  <c r="A216" i="330"/>
  <c r="J215" i="330"/>
  <c r="I215" i="330"/>
  <c r="A215" i="330"/>
  <c r="K214" i="330"/>
  <c r="I214" i="330"/>
  <c r="J214" i="330" s="1"/>
  <c r="H214" i="330"/>
  <c r="G214" i="330"/>
  <c r="F214" i="330"/>
  <c r="E214" i="330"/>
  <c r="D214" i="330"/>
  <c r="C214" i="330"/>
  <c r="A214" i="330"/>
  <c r="K213" i="330"/>
  <c r="I213" i="330"/>
  <c r="J213" i="330" s="1"/>
  <c r="H213" i="330"/>
  <c r="A213" i="330"/>
  <c r="K212" i="330"/>
  <c r="I212" i="330"/>
  <c r="J212" i="330" s="1"/>
  <c r="H212" i="330"/>
  <c r="A212" i="330"/>
  <c r="K211" i="330"/>
  <c r="I211" i="330"/>
  <c r="J211" i="330" s="1"/>
  <c r="H211" i="330"/>
  <c r="A211" i="330"/>
  <c r="K210" i="330"/>
  <c r="I210" i="330"/>
  <c r="J210" i="330" s="1"/>
  <c r="H210" i="330"/>
  <c r="A210" i="330"/>
  <c r="K209" i="330"/>
  <c r="H209" i="330"/>
  <c r="G209" i="330"/>
  <c r="I209" i="330" s="1"/>
  <c r="J209" i="330" s="1"/>
  <c r="F209" i="330"/>
  <c r="F41" i="241" s="1"/>
  <c r="E209" i="330"/>
  <c r="D209" i="330"/>
  <c r="C209" i="330"/>
  <c r="A209" i="330"/>
  <c r="J208" i="330"/>
  <c r="I208" i="330"/>
  <c r="A208" i="330"/>
  <c r="J207" i="330"/>
  <c r="I207" i="330"/>
  <c r="A207" i="330"/>
  <c r="I206" i="330"/>
  <c r="J206" i="330" s="1"/>
  <c r="A206" i="330"/>
  <c r="K205" i="330"/>
  <c r="I205" i="330"/>
  <c r="J205" i="330" s="1"/>
  <c r="H205" i="330"/>
  <c r="A205" i="330"/>
  <c r="I204" i="330"/>
  <c r="J204" i="330" s="1"/>
  <c r="A204" i="330"/>
  <c r="K203" i="330"/>
  <c r="I203" i="330"/>
  <c r="J203" i="330" s="1"/>
  <c r="H203" i="330"/>
  <c r="A203" i="330"/>
  <c r="I202" i="330"/>
  <c r="J202" i="330" s="1"/>
  <c r="A202" i="330"/>
  <c r="I201" i="330"/>
  <c r="J201" i="330" s="1"/>
  <c r="A201" i="330"/>
  <c r="K200" i="330"/>
  <c r="J200" i="330"/>
  <c r="I200" i="330"/>
  <c r="H200" i="330"/>
  <c r="A200" i="330"/>
  <c r="J199" i="330"/>
  <c r="I199" i="330"/>
  <c r="A199" i="330"/>
  <c r="K198" i="330"/>
  <c r="H198" i="330"/>
  <c r="G198" i="330"/>
  <c r="I198" i="330" s="1"/>
  <c r="J198" i="330" s="1"/>
  <c r="F198" i="330"/>
  <c r="F40" i="241" s="1"/>
  <c r="E198" i="330"/>
  <c r="D198" i="330"/>
  <c r="C198" i="330"/>
  <c r="A198" i="330"/>
  <c r="K197" i="330"/>
  <c r="H197" i="330"/>
  <c r="E197" i="330"/>
  <c r="D197" i="330"/>
  <c r="C197" i="330"/>
  <c r="A197" i="330"/>
  <c r="J196" i="330"/>
  <c r="I196" i="330"/>
  <c r="A196" i="330"/>
  <c r="J195" i="330"/>
  <c r="I195" i="330"/>
  <c r="A195" i="330"/>
  <c r="J194" i="330"/>
  <c r="I194" i="330"/>
  <c r="A194" i="330"/>
  <c r="J193" i="330"/>
  <c r="I193" i="330"/>
  <c r="A193" i="330"/>
  <c r="J192" i="330"/>
  <c r="I192" i="330"/>
  <c r="A192" i="330"/>
  <c r="K191" i="330"/>
  <c r="J191" i="330"/>
  <c r="I191" i="330"/>
  <c r="H191" i="330"/>
  <c r="A191" i="330"/>
  <c r="J190" i="330"/>
  <c r="I190" i="330"/>
  <c r="A190" i="330"/>
  <c r="K189" i="330"/>
  <c r="H189" i="330"/>
  <c r="G189" i="330"/>
  <c r="I189" i="330" s="1"/>
  <c r="J189" i="330" s="1"/>
  <c r="F189" i="330"/>
  <c r="F38" i="241" s="1"/>
  <c r="E189" i="330"/>
  <c r="D189" i="330"/>
  <c r="C189" i="330"/>
  <c r="A189" i="330"/>
  <c r="J188" i="330"/>
  <c r="I188" i="330"/>
  <c r="A188" i="330"/>
  <c r="K187" i="330"/>
  <c r="I187" i="330"/>
  <c r="J187" i="330" s="1"/>
  <c r="H187" i="330"/>
  <c r="A187" i="330"/>
  <c r="K186" i="330"/>
  <c r="H186" i="330"/>
  <c r="G186" i="330"/>
  <c r="I186" i="330" s="1"/>
  <c r="J186" i="330" s="1"/>
  <c r="F186" i="330"/>
  <c r="E186" i="330"/>
  <c r="D186" i="330"/>
  <c r="C186" i="330"/>
  <c r="A186" i="330"/>
  <c r="J185" i="330"/>
  <c r="I185" i="330"/>
  <c r="A185" i="330"/>
  <c r="J184" i="330"/>
  <c r="I184" i="330"/>
  <c r="A184" i="330"/>
  <c r="J183" i="330"/>
  <c r="I183" i="330"/>
  <c r="A183" i="330"/>
  <c r="K182" i="330"/>
  <c r="I182" i="330"/>
  <c r="J182" i="330" s="1"/>
  <c r="H182" i="330"/>
  <c r="A182" i="330"/>
  <c r="J181" i="330"/>
  <c r="I181" i="330"/>
  <c r="A181" i="330"/>
  <c r="I180" i="330"/>
  <c r="J180" i="330" s="1"/>
  <c r="A180" i="330"/>
  <c r="I179" i="330"/>
  <c r="J179" i="330" s="1"/>
  <c r="A179" i="330"/>
  <c r="K178" i="330"/>
  <c r="I178" i="330"/>
  <c r="J178" i="330" s="1"/>
  <c r="H178" i="330"/>
  <c r="A178" i="330"/>
  <c r="K177" i="330"/>
  <c r="H177" i="330"/>
  <c r="G177" i="330"/>
  <c r="I177" i="330" s="1"/>
  <c r="J177" i="330" s="1"/>
  <c r="F177" i="330"/>
  <c r="E177" i="330"/>
  <c r="D177" i="330"/>
  <c r="C177" i="330"/>
  <c r="A177" i="330"/>
  <c r="I176" i="330"/>
  <c r="J176" i="330" s="1"/>
  <c r="A176" i="330"/>
  <c r="K175" i="330"/>
  <c r="I175" i="330"/>
  <c r="J175" i="330" s="1"/>
  <c r="H175" i="330"/>
  <c r="A175" i="330"/>
  <c r="K174" i="330"/>
  <c r="I174" i="330"/>
  <c r="J174" i="330" s="1"/>
  <c r="H174" i="330"/>
  <c r="A174" i="330"/>
  <c r="J173" i="330"/>
  <c r="I173" i="330"/>
  <c r="A173" i="330"/>
  <c r="J172" i="330"/>
  <c r="I172" i="330"/>
  <c r="A172" i="330"/>
  <c r="K171" i="330"/>
  <c r="H171" i="330"/>
  <c r="G171" i="330"/>
  <c r="I171" i="330" s="1"/>
  <c r="J171" i="330" s="1"/>
  <c r="F171" i="330"/>
  <c r="F35" i="241" s="1"/>
  <c r="E171" i="330"/>
  <c r="D171" i="330"/>
  <c r="C171" i="330"/>
  <c r="A171" i="330"/>
  <c r="J170" i="330"/>
  <c r="I170" i="330"/>
  <c r="A170" i="330"/>
  <c r="I169" i="330"/>
  <c r="J169" i="330" s="1"/>
  <c r="A169" i="330"/>
  <c r="I168" i="330"/>
  <c r="J168" i="330" s="1"/>
  <c r="A168" i="330"/>
  <c r="K167" i="330"/>
  <c r="I167" i="330"/>
  <c r="J167" i="330" s="1"/>
  <c r="H167" i="330"/>
  <c r="A167" i="330"/>
  <c r="K166" i="330"/>
  <c r="I166" i="330"/>
  <c r="J166" i="330" s="1"/>
  <c r="H166" i="330"/>
  <c r="A166" i="330"/>
  <c r="I165" i="330"/>
  <c r="J165" i="330" s="1"/>
  <c r="A165" i="330"/>
  <c r="I164" i="330"/>
  <c r="J164" i="330" s="1"/>
  <c r="A164" i="330"/>
  <c r="K163" i="330"/>
  <c r="I163" i="330"/>
  <c r="J163" i="330" s="1"/>
  <c r="H163" i="330"/>
  <c r="A163" i="330"/>
  <c r="J162" i="330"/>
  <c r="I162" i="330"/>
  <c r="A162" i="330"/>
  <c r="J161" i="330"/>
  <c r="I161" i="330"/>
  <c r="A161" i="330"/>
  <c r="I160" i="330"/>
  <c r="J160" i="330" s="1"/>
  <c r="A160" i="330"/>
  <c r="I159" i="330"/>
  <c r="J159" i="330" s="1"/>
  <c r="A159" i="330"/>
  <c r="I158" i="330"/>
  <c r="J158" i="330" s="1"/>
  <c r="A158" i="330"/>
  <c r="I157" i="330"/>
  <c r="J157" i="330" s="1"/>
  <c r="A157" i="330"/>
  <c r="I156" i="330"/>
  <c r="J156" i="330" s="1"/>
  <c r="A156" i="330"/>
  <c r="K155" i="330"/>
  <c r="J155" i="330"/>
  <c r="I155" i="330"/>
  <c r="H155" i="330"/>
  <c r="A155" i="330"/>
  <c r="I154" i="330"/>
  <c r="J154" i="330" s="1"/>
  <c r="A154" i="330"/>
  <c r="K153" i="330"/>
  <c r="I153" i="330"/>
  <c r="J153" i="330" s="1"/>
  <c r="H153" i="330"/>
  <c r="A153" i="330"/>
  <c r="K152" i="330"/>
  <c r="J152" i="330"/>
  <c r="I152" i="330"/>
  <c r="H152" i="330"/>
  <c r="A152" i="330"/>
  <c r="J151" i="330"/>
  <c r="I151" i="330"/>
  <c r="A151" i="330"/>
  <c r="K150" i="330"/>
  <c r="I150" i="330"/>
  <c r="J150" i="330" s="1"/>
  <c r="H150" i="330"/>
  <c r="A150" i="330"/>
  <c r="K149" i="330"/>
  <c r="H149" i="330"/>
  <c r="G149" i="330"/>
  <c r="F149" i="330"/>
  <c r="E149" i="330"/>
  <c r="D149" i="330"/>
  <c r="C149" i="330"/>
  <c r="A149" i="330"/>
  <c r="K148" i="330"/>
  <c r="H148" i="330"/>
  <c r="E148" i="330"/>
  <c r="D148" i="330"/>
  <c r="C148" i="330"/>
  <c r="A148" i="330"/>
  <c r="K147" i="330"/>
  <c r="J147" i="330"/>
  <c r="I147" i="330"/>
  <c r="H147" i="330"/>
  <c r="A147" i="330"/>
  <c r="K146" i="330"/>
  <c r="I146" i="330"/>
  <c r="J146" i="330" s="1"/>
  <c r="H146" i="330"/>
  <c r="G146" i="330"/>
  <c r="F146" i="330"/>
  <c r="E146" i="330"/>
  <c r="D146" i="330"/>
  <c r="C146" i="330"/>
  <c r="A146" i="330"/>
  <c r="I145" i="330"/>
  <c r="J145" i="330" s="1"/>
  <c r="A145" i="330"/>
  <c r="K144" i="330"/>
  <c r="I144" i="330"/>
  <c r="J144" i="330" s="1"/>
  <c r="H144" i="330"/>
  <c r="A144" i="330"/>
  <c r="K143" i="330"/>
  <c r="I143" i="330"/>
  <c r="J143" i="330" s="1"/>
  <c r="H143" i="330"/>
  <c r="A143" i="330"/>
  <c r="I142" i="330"/>
  <c r="J142" i="330" s="1"/>
  <c r="A142" i="330"/>
  <c r="K141" i="330"/>
  <c r="J141" i="330"/>
  <c r="I141" i="330"/>
  <c r="H141" i="330"/>
  <c r="A141" i="330"/>
  <c r="K140" i="330"/>
  <c r="I140" i="330"/>
  <c r="J140" i="330" s="1"/>
  <c r="H140" i="330"/>
  <c r="A140" i="330"/>
  <c r="K139" i="330"/>
  <c r="J139" i="330"/>
  <c r="I139" i="330"/>
  <c r="H139" i="330"/>
  <c r="A139" i="330"/>
  <c r="K138" i="330"/>
  <c r="I138" i="330"/>
  <c r="J138" i="330" s="1"/>
  <c r="H138" i="330"/>
  <c r="A138" i="330"/>
  <c r="K137" i="330"/>
  <c r="I137" i="330"/>
  <c r="J137" i="330" s="1"/>
  <c r="H137" i="330"/>
  <c r="A137" i="330"/>
  <c r="J136" i="330"/>
  <c r="I136" i="330"/>
  <c r="A136" i="330"/>
  <c r="K135" i="330"/>
  <c r="I135" i="330"/>
  <c r="J135" i="330" s="1"/>
  <c r="H135" i="330"/>
  <c r="A135" i="330"/>
  <c r="K134" i="330"/>
  <c r="I134" i="330"/>
  <c r="J134" i="330" s="1"/>
  <c r="H134" i="330"/>
  <c r="A134" i="330"/>
  <c r="K133" i="330"/>
  <c r="I133" i="330"/>
  <c r="J133" i="330" s="1"/>
  <c r="H133" i="330"/>
  <c r="A133" i="330"/>
  <c r="K132" i="330"/>
  <c r="H132" i="330"/>
  <c r="G132" i="330"/>
  <c r="G31" i="241" s="1"/>
  <c r="I31" i="241" s="1"/>
  <c r="J31" i="241" s="1"/>
  <c r="F132" i="330"/>
  <c r="F128" i="330" s="1"/>
  <c r="E132" i="330"/>
  <c r="D132" i="330"/>
  <c r="C132" i="330"/>
  <c r="A132" i="330"/>
  <c r="K131" i="330"/>
  <c r="I131" i="330"/>
  <c r="J131" i="330" s="1"/>
  <c r="H131" i="330"/>
  <c r="A131" i="330"/>
  <c r="K130" i="330"/>
  <c r="I130" i="330"/>
  <c r="J130" i="330" s="1"/>
  <c r="H130" i="330"/>
  <c r="A130" i="330"/>
  <c r="K129" i="330"/>
  <c r="H129" i="330"/>
  <c r="G129" i="330"/>
  <c r="I129" i="330" s="1"/>
  <c r="J129" i="330" s="1"/>
  <c r="F129" i="330"/>
  <c r="E129" i="330"/>
  <c r="D129" i="330"/>
  <c r="C129" i="330"/>
  <c r="A129" i="330"/>
  <c r="K128" i="330"/>
  <c r="H128" i="330"/>
  <c r="E128" i="330"/>
  <c r="D128" i="330"/>
  <c r="C128" i="330"/>
  <c r="A128" i="330"/>
  <c r="K125" i="330"/>
  <c r="H125" i="330"/>
  <c r="E125" i="330"/>
  <c r="D125" i="330"/>
  <c r="C125" i="330"/>
  <c r="A125" i="330"/>
  <c r="J124" i="330"/>
  <c r="I124" i="330"/>
  <c r="K123" i="330"/>
  <c r="I123" i="330"/>
  <c r="J123" i="330" s="1"/>
  <c r="H123" i="330"/>
  <c r="I122" i="330"/>
  <c r="J122" i="330" s="1"/>
  <c r="K121" i="330"/>
  <c r="I121" i="330"/>
  <c r="J121" i="330" s="1"/>
  <c r="H121" i="330"/>
  <c r="K120" i="330"/>
  <c r="J120" i="330"/>
  <c r="I120" i="330"/>
  <c r="H120" i="330"/>
  <c r="J119" i="330"/>
  <c r="I119" i="330"/>
  <c r="K118" i="330"/>
  <c r="H118" i="330"/>
  <c r="G118" i="330"/>
  <c r="I118" i="330" s="1"/>
  <c r="J118" i="330" s="1"/>
  <c r="F118" i="330"/>
  <c r="F25" i="241" s="1"/>
  <c r="E118" i="330"/>
  <c r="D118" i="330"/>
  <c r="C118" i="330"/>
  <c r="I117" i="330"/>
  <c r="J117" i="330" s="1"/>
  <c r="I116" i="330"/>
  <c r="J116" i="330" s="1"/>
  <c r="K115" i="330"/>
  <c r="I115" i="330"/>
  <c r="J115" i="330" s="1"/>
  <c r="H115" i="330"/>
  <c r="J114" i="330"/>
  <c r="I114" i="330"/>
  <c r="K113" i="330"/>
  <c r="H113" i="330"/>
  <c r="G113" i="330"/>
  <c r="I113" i="330" s="1"/>
  <c r="J113" i="330" s="1"/>
  <c r="F113" i="330"/>
  <c r="F24" i="241" s="1"/>
  <c r="E113" i="330"/>
  <c r="D113" i="330"/>
  <c r="C113" i="330"/>
  <c r="J112" i="330"/>
  <c r="I112" i="330"/>
  <c r="J111" i="330"/>
  <c r="I111" i="330"/>
  <c r="K110" i="330"/>
  <c r="J110" i="330"/>
  <c r="I110" i="330"/>
  <c r="H110" i="330"/>
  <c r="J109" i="330"/>
  <c r="I109" i="330"/>
  <c r="K108" i="330"/>
  <c r="J108" i="330"/>
  <c r="I108" i="330"/>
  <c r="H108" i="330"/>
  <c r="G108" i="330"/>
  <c r="F108" i="330"/>
  <c r="E108" i="330"/>
  <c r="D108" i="330"/>
  <c r="C108" i="330"/>
  <c r="J107" i="330"/>
  <c r="I107" i="330"/>
  <c r="K106" i="330"/>
  <c r="I106" i="330"/>
  <c r="J106" i="330" s="1"/>
  <c r="H106" i="330"/>
  <c r="J105" i="330"/>
  <c r="I105" i="330"/>
  <c r="K104" i="330"/>
  <c r="I104" i="330"/>
  <c r="J104" i="330" s="1"/>
  <c r="H104" i="330"/>
  <c r="G104" i="330"/>
  <c r="F104" i="330"/>
  <c r="E104" i="330"/>
  <c r="D104" i="330"/>
  <c r="C104" i="330"/>
  <c r="J103" i="330"/>
  <c r="I103" i="330"/>
  <c r="K102" i="330"/>
  <c r="J102" i="330"/>
  <c r="I102" i="330"/>
  <c r="H102" i="330"/>
  <c r="K101" i="330"/>
  <c r="I101" i="330"/>
  <c r="J101" i="330" s="1"/>
  <c r="H101" i="330"/>
  <c r="K100" i="330"/>
  <c r="H100" i="330"/>
  <c r="G100" i="330"/>
  <c r="F100" i="330"/>
  <c r="F21" i="241" s="1"/>
  <c r="E100" i="330"/>
  <c r="D100" i="330"/>
  <c r="C100" i="330"/>
  <c r="K99" i="330"/>
  <c r="H99" i="330"/>
  <c r="E99" i="330"/>
  <c r="D99" i="330"/>
  <c r="C99" i="330"/>
  <c r="J98" i="330"/>
  <c r="I98" i="330"/>
  <c r="K97" i="330"/>
  <c r="I97" i="330"/>
  <c r="J97" i="330" s="1"/>
  <c r="H97" i="330"/>
  <c r="J96" i="330"/>
  <c r="I96" i="330"/>
  <c r="J95" i="330"/>
  <c r="I95" i="330"/>
  <c r="J94" i="330"/>
  <c r="I94" i="330"/>
  <c r="J93" i="330"/>
  <c r="I93" i="330"/>
  <c r="K92" i="330"/>
  <c r="H92" i="330"/>
  <c r="G92" i="330"/>
  <c r="I92" i="330" s="1"/>
  <c r="J92" i="330" s="1"/>
  <c r="F92" i="330"/>
  <c r="F19" i="241" s="1"/>
  <c r="E92" i="330"/>
  <c r="D92" i="330"/>
  <c r="C92" i="330"/>
  <c r="J91" i="330"/>
  <c r="I91" i="330"/>
  <c r="I90" i="330"/>
  <c r="J90" i="330" s="1"/>
  <c r="I89" i="330"/>
  <c r="J89" i="330" s="1"/>
  <c r="K88" i="330"/>
  <c r="J88" i="330"/>
  <c r="I88" i="330"/>
  <c r="H88" i="330"/>
  <c r="K87" i="330"/>
  <c r="H87" i="330"/>
  <c r="G87" i="330"/>
  <c r="I87" i="330" s="1"/>
  <c r="J87" i="330" s="1"/>
  <c r="F87" i="330"/>
  <c r="E87" i="330"/>
  <c r="D87" i="330"/>
  <c r="C87" i="330"/>
  <c r="J86" i="330"/>
  <c r="I86" i="330"/>
  <c r="J85" i="330"/>
  <c r="I85" i="330"/>
  <c r="J84" i="330"/>
  <c r="I84" i="330"/>
  <c r="K83" i="330"/>
  <c r="J83" i="330"/>
  <c r="I83" i="330"/>
  <c r="H83" i="330"/>
  <c r="J82" i="330"/>
  <c r="I82" i="330"/>
  <c r="J81" i="330"/>
  <c r="I81" i="330"/>
  <c r="J80" i="330"/>
  <c r="I80" i="330"/>
  <c r="J79" i="330"/>
  <c r="I79" i="330"/>
  <c r="J78" i="330"/>
  <c r="I78" i="330"/>
  <c r="J77" i="330"/>
  <c r="I77" i="330"/>
  <c r="K76" i="330"/>
  <c r="I76" i="330"/>
  <c r="J76" i="330" s="1"/>
  <c r="H76" i="330"/>
  <c r="G76" i="330"/>
  <c r="F76" i="330"/>
  <c r="F17" i="241" s="1"/>
  <c r="E76" i="330"/>
  <c r="D76" i="330"/>
  <c r="C76" i="330"/>
  <c r="K75" i="330"/>
  <c r="H75" i="330"/>
  <c r="E75" i="330"/>
  <c r="D75" i="330"/>
  <c r="C75" i="330"/>
  <c r="J74" i="330"/>
  <c r="I74" i="330"/>
  <c r="J73" i="330"/>
  <c r="I73" i="330"/>
  <c r="J72" i="330"/>
  <c r="I72" i="330"/>
  <c r="J71" i="330"/>
  <c r="I71" i="330"/>
  <c r="J70" i="330"/>
  <c r="I70" i="330"/>
  <c r="J69" i="330"/>
  <c r="I69" i="330"/>
  <c r="J68" i="330"/>
  <c r="I68" i="330"/>
  <c r="K67" i="330"/>
  <c r="J67" i="330"/>
  <c r="I67" i="330"/>
  <c r="H67" i="330"/>
  <c r="G67" i="330"/>
  <c r="F67" i="330"/>
  <c r="E67" i="330"/>
  <c r="D67" i="330"/>
  <c r="C67" i="330"/>
  <c r="J66" i="330"/>
  <c r="I66" i="330"/>
  <c r="K65" i="330"/>
  <c r="I65" i="330"/>
  <c r="J65" i="330" s="1"/>
  <c r="H65" i="330"/>
  <c r="K64" i="330"/>
  <c r="I64" i="330"/>
  <c r="J64" i="330" s="1"/>
  <c r="H64" i="330"/>
  <c r="G64" i="330"/>
  <c r="F64" i="330"/>
  <c r="E64" i="330"/>
  <c r="D64" i="330"/>
  <c r="C64" i="330"/>
  <c r="J63" i="330"/>
  <c r="I63" i="330"/>
  <c r="K62" i="330"/>
  <c r="J62" i="330"/>
  <c r="I62" i="330"/>
  <c r="H62" i="330"/>
  <c r="I61" i="330"/>
  <c r="J61" i="330" s="1"/>
  <c r="K60" i="330"/>
  <c r="J60" i="330"/>
  <c r="I60" i="330"/>
  <c r="H60" i="330"/>
  <c r="J59" i="330"/>
  <c r="I59" i="330"/>
  <c r="J58" i="330"/>
  <c r="I58" i="330"/>
  <c r="J57" i="330"/>
  <c r="I57" i="330"/>
  <c r="J56" i="330"/>
  <c r="I56" i="330"/>
  <c r="K55" i="330"/>
  <c r="H55" i="330"/>
  <c r="G55" i="330"/>
  <c r="I55" i="330" s="1"/>
  <c r="J55" i="330" s="1"/>
  <c r="F55" i="330"/>
  <c r="E55" i="330"/>
  <c r="D55" i="330"/>
  <c r="C55" i="330"/>
  <c r="J54" i="330"/>
  <c r="I54" i="330"/>
  <c r="K53" i="330"/>
  <c r="J53" i="330"/>
  <c r="I53" i="330"/>
  <c r="H53" i="330"/>
  <c r="J52" i="330"/>
  <c r="I52" i="330"/>
  <c r="J51" i="330"/>
  <c r="I51" i="330"/>
  <c r="J50" i="330"/>
  <c r="I50" i="330"/>
  <c r="K49" i="330"/>
  <c r="H49" i="330"/>
  <c r="G49" i="330"/>
  <c r="I49" i="330" s="1"/>
  <c r="J49" i="330" s="1"/>
  <c r="F49" i="330"/>
  <c r="E49" i="330"/>
  <c r="D49" i="330"/>
  <c r="C49" i="330"/>
  <c r="J48" i="330"/>
  <c r="I48" i="330"/>
  <c r="J47" i="330"/>
  <c r="I47" i="330"/>
  <c r="J46" i="330"/>
  <c r="I46" i="330"/>
  <c r="J45" i="330"/>
  <c r="I45" i="330"/>
  <c r="K44" i="330"/>
  <c r="J44" i="330"/>
  <c r="I44" i="330"/>
  <c r="H44" i="330"/>
  <c r="I43" i="330"/>
  <c r="J43" i="330" s="1"/>
  <c r="I42" i="330"/>
  <c r="J42" i="330" s="1"/>
  <c r="K41" i="330"/>
  <c r="I41" i="330"/>
  <c r="J41" i="330" s="1"/>
  <c r="H41" i="330"/>
  <c r="J40" i="330"/>
  <c r="I40" i="330"/>
  <c r="J39" i="330"/>
  <c r="I39" i="330"/>
  <c r="J38" i="330"/>
  <c r="I38" i="330"/>
  <c r="J37" i="330"/>
  <c r="I37" i="330"/>
  <c r="J36" i="330"/>
  <c r="I36" i="330"/>
  <c r="J35" i="330"/>
  <c r="I35" i="330"/>
  <c r="I34" i="330"/>
  <c r="J34" i="330" s="1"/>
  <c r="K33" i="330"/>
  <c r="I33" i="330"/>
  <c r="J33" i="330" s="1"/>
  <c r="H33" i="330"/>
  <c r="I32" i="330"/>
  <c r="J32" i="330" s="1"/>
  <c r="K31" i="330"/>
  <c r="I31" i="330"/>
  <c r="J31" i="330" s="1"/>
  <c r="H31" i="330"/>
  <c r="J30" i="330"/>
  <c r="I30" i="330"/>
  <c r="J29" i="330"/>
  <c r="I29" i="330"/>
  <c r="J28" i="330"/>
  <c r="I28" i="330"/>
  <c r="K27" i="330"/>
  <c r="H27" i="330"/>
  <c r="G27" i="330"/>
  <c r="I27" i="330" s="1"/>
  <c r="J27" i="330" s="1"/>
  <c r="F27" i="330"/>
  <c r="F26" i="330" s="1"/>
  <c r="E27" i="330"/>
  <c r="D27" i="330"/>
  <c r="C27" i="330"/>
  <c r="K26" i="330"/>
  <c r="H26" i="330"/>
  <c r="E26" i="330"/>
  <c r="D26" i="330"/>
  <c r="C26" i="330"/>
  <c r="J25" i="330"/>
  <c r="I25" i="330"/>
  <c r="K24" i="330"/>
  <c r="J24" i="330"/>
  <c r="I24" i="330"/>
  <c r="H24" i="330"/>
  <c r="G24" i="330"/>
  <c r="F24" i="330"/>
  <c r="E24" i="330"/>
  <c r="D24" i="330"/>
  <c r="C24" i="330"/>
  <c r="J23" i="330"/>
  <c r="I23" i="330"/>
  <c r="I22" i="330"/>
  <c r="J22" i="330" s="1"/>
  <c r="J21" i="330"/>
  <c r="I21" i="330"/>
  <c r="I20" i="330"/>
  <c r="J20" i="330" s="1"/>
  <c r="I19" i="330"/>
  <c r="J19" i="330" s="1"/>
  <c r="I18" i="330"/>
  <c r="J18" i="330" s="1"/>
  <c r="K17" i="330"/>
  <c r="I17" i="330"/>
  <c r="J17" i="330" s="1"/>
  <c r="H17" i="330"/>
  <c r="K16" i="330"/>
  <c r="J16" i="330"/>
  <c r="I16" i="330"/>
  <c r="H16" i="330"/>
  <c r="K15" i="330"/>
  <c r="J15" i="330"/>
  <c r="I15" i="330"/>
  <c r="H15" i="330"/>
  <c r="I14" i="330"/>
  <c r="J14" i="330" s="1"/>
  <c r="K13" i="330"/>
  <c r="I13" i="330"/>
  <c r="J13" i="330" s="1"/>
  <c r="H13" i="330"/>
  <c r="J12" i="330"/>
  <c r="I12" i="330"/>
  <c r="J11" i="330"/>
  <c r="I11" i="330"/>
  <c r="K10" i="330"/>
  <c r="H10" i="330"/>
  <c r="G10" i="330"/>
  <c r="I10" i="330" s="1"/>
  <c r="J10" i="330" s="1"/>
  <c r="F10" i="330"/>
  <c r="F6" i="330" s="1"/>
  <c r="E10" i="330"/>
  <c r="D10" i="330"/>
  <c r="C10" i="330"/>
  <c r="K9" i="330"/>
  <c r="J9" i="330"/>
  <c r="I9" i="330"/>
  <c r="H9" i="330"/>
  <c r="J8" i="330"/>
  <c r="I8" i="330"/>
  <c r="K7" i="330"/>
  <c r="J7" i="330"/>
  <c r="I7" i="330"/>
  <c r="H7" i="330"/>
  <c r="G7" i="330"/>
  <c r="F7" i="330"/>
  <c r="E7" i="330"/>
  <c r="D7" i="330"/>
  <c r="C7" i="330"/>
  <c r="K6" i="330"/>
  <c r="H6" i="330"/>
  <c r="E6" i="330"/>
  <c r="D6" i="330"/>
  <c r="C6" i="330"/>
  <c r="K3" i="330"/>
  <c r="J3" i="330"/>
  <c r="I3" i="330"/>
  <c r="H3" i="330"/>
  <c r="G3" i="330"/>
  <c r="F3" i="330"/>
  <c r="E3" i="330"/>
  <c r="D3" i="330"/>
  <c r="C3" i="330"/>
  <c r="D2" i="330"/>
  <c r="C2" i="330"/>
  <c r="B2" i="330"/>
  <c r="A2" i="330"/>
  <c r="A1" i="330"/>
  <c r="A51" i="241"/>
  <c r="K50" i="241"/>
  <c r="H50" i="241"/>
  <c r="E50" i="241"/>
  <c r="D50" i="241"/>
  <c r="C50" i="241"/>
  <c r="K49" i="241"/>
  <c r="H49" i="241"/>
  <c r="E49" i="241"/>
  <c r="D49" i="241"/>
  <c r="C49" i="241"/>
  <c r="K48" i="241"/>
  <c r="H48" i="241"/>
  <c r="G48" i="241"/>
  <c r="I48" i="241" s="1"/>
  <c r="J48" i="241" s="1"/>
  <c r="F48" i="241"/>
  <c r="E48" i="241"/>
  <c r="D48" i="241"/>
  <c r="C48" i="241"/>
  <c r="K47" i="241"/>
  <c r="I47" i="241"/>
  <c r="J47" i="241" s="1"/>
  <c r="H47" i="241"/>
  <c r="G47" i="241"/>
  <c r="F47" i="241"/>
  <c r="E47" i="241"/>
  <c r="D47" i="241"/>
  <c r="C47" i="241"/>
  <c r="K46" i="241"/>
  <c r="H46" i="241"/>
  <c r="G46" i="241"/>
  <c r="I46" i="241" s="1"/>
  <c r="J46" i="241" s="1"/>
  <c r="F46" i="241"/>
  <c r="F43" i="241" s="1"/>
  <c r="E46" i="241"/>
  <c r="D46" i="241"/>
  <c r="C46" i="241"/>
  <c r="K45" i="241"/>
  <c r="H45" i="241"/>
  <c r="G45" i="241"/>
  <c r="I45" i="241" s="1"/>
  <c r="J45" i="241" s="1"/>
  <c r="F45" i="241"/>
  <c r="E45" i="241"/>
  <c r="D45" i="241"/>
  <c r="C45" i="241"/>
  <c r="K44" i="241"/>
  <c r="H44" i="241"/>
  <c r="F44" i="241"/>
  <c r="E44" i="241"/>
  <c r="D44" i="241"/>
  <c r="C44" i="241"/>
  <c r="K43" i="241"/>
  <c r="H43" i="241"/>
  <c r="E43" i="241"/>
  <c r="D43" i="241"/>
  <c r="C43" i="241"/>
  <c r="K42" i="241"/>
  <c r="H42" i="241"/>
  <c r="G42" i="241"/>
  <c r="I42" i="241" s="1"/>
  <c r="J42" i="241" s="1"/>
  <c r="F42" i="241"/>
  <c r="E42" i="241"/>
  <c r="D42" i="241"/>
  <c r="C42" i="241"/>
  <c r="K41" i="241"/>
  <c r="H41" i="241"/>
  <c r="G41" i="241"/>
  <c r="I41" i="241" s="1"/>
  <c r="J41" i="241" s="1"/>
  <c r="E41" i="241"/>
  <c r="D41" i="241"/>
  <c r="C41" i="241"/>
  <c r="K40" i="241"/>
  <c r="H40" i="241"/>
  <c r="E40" i="241"/>
  <c r="D40" i="241"/>
  <c r="C40" i="241"/>
  <c r="K39" i="241"/>
  <c r="H39" i="241"/>
  <c r="E39" i="241"/>
  <c r="D39" i="241"/>
  <c r="C39" i="241"/>
  <c r="K38" i="241"/>
  <c r="H38" i="241"/>
  <c r="G38" i="241"/>
  <c r="I38" i="241" s="1"/>
  <c r="J38" i="241" s="1"/>
  <c r="E38" i="241"/>
  <c r="D38" i="241"/>
  <c r="C38" i="241"/>
  <c r="K37" i="241"/>
  <c r="I37" i="241"/>
  <c r="J37" i="241" s="1"/>
  <c r="H37" i="241"/>
  <c r="G37" i="241"/>
  <c r="F37" i="241"/>
  <c r="E37" i="241"/>
  <c r="D37" i="241"/>
  <c r="C37" i="241"/>
  <c r="K36" i="241"/>
  <c r="H36" i="241"/>
  <c r="F36" i="241"/>
  <c r="E36" i="241"/>
  <c r="D36" i="241"/>
  <c r="C36" i="241"/>
  <c r="K35" i="241"/>
  <c r="H35" i="241"/>
  <c r="G35" i="241"/>
  <c r="I35" i="241" s="1"/>
  <c r="J35" i="241" s="1"/>
  <c r="E35" i="241"/>
  <c r="D35" i="241"/>
  <c r="C35" i="241"/>
  <c r="K34" i="241"/>
  <c r="H34" i="241"/>
  <c r="F34" i="241"/>
  <c r="E34" i="241"/>
  <c r="D34" i="241"/>
  <c r="C34" i="241"/>
  <c r="K33" i="241"/>
  <c r="H33" i="241"/>
  <c r="E33" i="241"/>
  <c r="D33" i="241"/>
  <c r="C33" i="241"/>
  <c r="K32" i="241"/>
  <c r="I32" i="241"/>
  <c r="J32" i="241" s="1"/>
  <c r="H32" i="241"/>
  <c r="G32" i="241"/>
  <c r="F32" i="241"/>
  <c r="E32" i="241"/>
  <c r="D32" i="241"/>
  <c r="C32" i="241"/>
  <c r="K31" i="241"/>
  <c r="H31" i="241"/>
  <c r="E31" i="241"/>
  <c r="D31" i="241"/>
  <c r="C31" i="241"/>
  <c r="K30" i="241"/>
  <c r="H30" i="241"/>
  <c r="G30" i="241"/>
  <c r="F30" i="241"/>
  <c r="E30" i="241"/>
  <c r="D30" i="241"/>
  <c r="C30" i="241"/>
  <c r="K29" i="241"/>
  <c r="H29" i="241"/>
  <c r="E29" i="241"/>
  <c r="D29" i="241"/>
  <c r="C29" i="241"/>
  <c r="K26" i="241"/>
  <c r="H26" i="241"/>
  <c r="E26" i="241"/>
  <c r="D26" i="241"/>
  <c r="C26" i="241"/>
  <c r="K25" i="241"/>
  <c r="I25" i="241"/>
  <c r="J25" i="241" s="1"/>
  <c r="H25" i="241"/>
  <c r="G25" i="241"/>
  <c r="E25" i="241"/>
  <c r="D25" i="241"/>
  <c r="C25" i="241"/>
  <c r="K24" i="241"/>
  <c r="I24" i="241"/>
  <c r="J24" i="241" s="1"/>
  <c r="H24" i="241"/>
  <c r="G24" i="241"/>
  <c r="E24" i="241"/>
  <c r="D24" i="241"/>
  <c r="C24" i="241"/>
  <c r="K23" i="241"/>
  <c r="I23" i="241"/>
  <c r="J23" i="241" s="1"/>
  <c r="H23" i="241"/>
  <c r="G23" i="241"/>
  <c r="F23" i="241"/>
  <c r="E23" i="241"/>
  <c r="D23" i="241"/>
  <c r="C23" i="241"/>
  <c r="K22" i="241"/>
  <c r="H22" i="241"/>
  <c r="G22" i="241"/>
  <c r="I22" i="241" s="1"/>
  <c r="J22" i="241" s="1"/>
  <c r="F22" i="241"/>
  <c r="E22" i="241"/>
  <c r="D22" i="241"/>
  <c r="C22" i="241"/>
  <c r="K21" i="241"/>
  <c r="H21" i="241"/>
  <c r="G21" i="241"/>
  <c r="E21" i="241"/>
  <c r="D21" i="241"/>
  <c r="C21" i="241"/>
  <c r="K20" i="241"/>
  <c r="H20" i="241"/>
  <c r="E20" i="241"/>
  <c r="D20" i="241"/>
  <c r="C20" i="241"/>
  <c r="K19" i="241"/>
  <c r="H19" i="241"/>
  <c r="E19" i="241"/>
  <c r="D19" i="241"/>
  <c r="C19" i="241"/>
  <c r="K18" i="241"/>
  <c r="H18" i="241"/>
  <c r="G18" i="241"/>
  <c r="I18" i="241" s="1"/>
  <c r="J18" i="241" s="1"/>
  <c r="F18" i="241"/>
  <c r="E18" i="241"/>
  <c r="D18" i="241"/>
  <c r="C18" i="241"/>
  <c r="K17" i="241"/>
  <c r="H17" i="241"/>
  <c r="G17" i="241"/>
  <c r="I17" i="241" s="1"/>
  <c r="J17" i="241" s="1"/>
  <c r="E17" i="241"/>
  <c r="D17" i="241"/>
  <c r="C17" i="241"/>
  <c r="K16" i="241"/>
  <c r="H16" i="241"/>
  <c r="E16" i="241"/>
  <c r="D16" i="241"/>
  <c r="C16" i="241"/>
  <c r="K15" i="241"/>
  <c r="J15" i="241"/>
  <c r="I15" i="241"/>
  <c r="H15" i="241"/>
  <c r="G15" i="241"/>
  <c r="F15" i="241"/>
  <c r="E15" i="241"/>
  <c r="D15" i="241"/>
  <c r="C15" i="241"/>
  <c r="K14" i="241"/>
  <c r="H14" i="241"/>
  <c r="G14" i="241"/>
  <c r="I14" i="241" s="1"/>
  <c r="J14" i="241" s="1"/>
  <c r="F14" i="241"/>
  <c r="E14" i="241"/>
  <c r="D14" i="241"/>
  <c r="C14" i="241"/>
  <c r="K13" i="241"/>
  <c r="H13" i="241"/>
  <c r="F13" i="241"/>
  <c r="E13" i="241"/>
  <c r="D13" i="241"/>
  <c r="C13" i="241"/>
  <c r="K12" i="241"/>
  <c r="H12" i="241"/>
  <c r="G12" i="241"/>
  <c r="I12" i="241" s="1"/>
  <c r="J12" i="241" s="1"/>
  <c r="F12" i="241"/>
  <c r="E12" i="241"/>
  <c r="D12" i="241"/>
  <c r="C12" i="241"/>
  <c r="K11" i="241"/>
  <c r="H11" i="241"/>
  <c r="E11" i="241"/>
  <c r="D11" i="241"/>
  <c r="C11" i="241"/>
  <c r="K10" i="241"/>
  <c r="H10" i="241"/>
  <c r="E10" i="241"/>
  <c r="D10" i="241"/>
  <c r="C10" i="241"/>
  <c r="K9" i="241"/>
  <c r="J9" i="241"/>
  <c r="I9" i="241"/>
  <c r="H9" i="241"/>
  <c r="G9" i="241"/>
  <c r="F9" i="241"/>
  <c r="E9" i="241"/>
  <c r="D9" i="241"/>
  <c r="C9" i="241"/>
  <c r="K8" i="241"/>
  <c r="H8" i="241"/>
  <c r="G8" i="241"/>
  <c r="I8" i="241" s="1"/>
  <c r="J8" i="241" s="1"/>
  <c r="E8" i="241"/>
  <c r="D8" i="241"/>
  <c r="C8" i="241"/>
  <c r="K7" i="241"/>
  <c r="J7" i="241"/>
  <c r="I7" i="241"/>
  <c r="H7" i="241"/>
  <c r="G7" i="241"/>
  <c r="F7" i="241"/>
  <c r="E7" i="241"/>
  <c r="D7" i="241"/>
  <c r="C7" i="241"/>
  <c r="K6" i="241"/>
  <c r="H6" i="241"/>
  <c r="E6" i="241"/>
  <c r="D6" i="241"/>
  <c r="C6" i="241"/>
  <c r="K3" i="241"/>
  <c r="J3" i="241"/>
  <c r="I3" i="241"/>
  <c r="H3" i="241"/>
  <c r="G3" i="241"/>
  <c r="F3" i="241"/>
  <c r="E3" i="241"/>
  <c r="D3" i="241"/>
  <c r="C3" i="241"/>
  <c r="D2" i="241"/>
  <c r="C2" i="241"/>
  <c r="B2" i="241"/>
  <c r="A2" i="241"/>
  <c r="A1" i="241"/>
  <c r="I52" i="267"/>
  <c r="H52" i="267"/>
  <c r="G52" i="267"/>
  <c r="F52" i="267"/>
  <c r="E52" i="267"/>
  <c r="C52" i="267"/>
  <c r="B52" i="267"/>
  <c r="A51" i="267"/>
  <c r="I50" i="267"/>
  <c r="H50" i="267"/>
  <c r="G50" i="267"/>
  <c r="F50" i="267"/>
  <c r="C50" i="267"/>
  <c r="B50" i="267"/>
  <c r="A50" i="267"/>
  <c r="A49" i="267"/>
  <c r="I48" i="267"/>
  <c r="H48" i="267"/>
  <c r="G48" i="267"/>
  <c r="F48" i="267"/>
  <c r="E48" i="267"/>
  <c r="D48" i="267"/>
  <c r="C48" i="267"/>
  <c r="B48" i="267"/>
  <c r="J46" i="267"/>
  <c r="G46" i="267"/>
  <c r="E46" i="267"/>
  <c r="D46" i="267"/>
  <c r="C46" i="267"/>
  <c r="B46" i="267"/>
  <c r="J45" i="267"/>
  <c r="I45" i="267"/>
  <c r="H45" i="267"/>
  <c r="G45" i="267"/>
  <c r="F45" i="267"/>
  <c r="D45" i="267"/>
  <c r="C45" i="267"/>
  <c r="B45" i="267"/>
  <c r="J44" i="267"/>
  <c r="H44" i="267"/>
  <c r="I44" i="267" s="1"/>
  <c r="G44" i="267"/>
  <c r="F44" i="267"/>
  <c r="D44" i="267"/>
  <c r="C44" i="267"/>
  <c r="B44" i="267"/>
  <c r="J43" i="267"/>
  <c r="G43" i="267"/>
  <c r="F43" i="267"/>
  <c r="H43" i="267" s="1"/>
  <c r="I43" i="267" s="1"/>
  <c r="D43" i="267"/>
  <c r="C43" i="267"/>
  <c r="B43" i="267"/>
  <c r="J40" i="267"/>
  <c r="F40" i="267"/>
  <c r="D40" i="267"/>
  <c r="C40" i="267"/>
  <c r="B40" i="267"/>
  <c r="J39" i="267"/>
  <c r="D39" i="267"/>
  <c r="C39" i="267"/>
  <c r="B39" i="267"/>
  <c r="J38" i="267"/>
  <c r="D38" i="267"/>
  <c r="C38" i="267"/>
  <c r="B38" i="267"/>
  <c r="J37" i="267"/>
  <c r="F37" i="267"/>
  <c r="D37" i="267"/>
  <c r="C37" i="267"/>
  <c r="B37" i="267"/>
  <c r="J36" i="267"/>
  <c r="D36" i="267"/>
  <c r="C36" i="267"/>
  <c r="B36" i="267"/>
  <c r="J33" i="267"/>
  <c r="G33" i="267"/>
  <c r="D33" i="267"/>
  <c r="C33" i="267"/>
  <c r="B33" i="267"/>
  <c r="J32" i="267"/>
  <c r="I32" i="267"/>
  <c r="H32" i="267"/>
  <c r="G32" i="267"/>
  <c r="F32" i="267"/>
  <c r="E32" i="267"/>
  <c r="E33" i="267" s="1"/>
  <c r="D32" i="267"/>
  <c r="C32" i="267"/>
  <c r="B32" i="267"/>
  <c r="J31" i="267"/>
  <c r="I31" i="267"/>
  <c r="H31" i="267"/>
  <c r="G31" i="267"/>
  <c r="F31" i="267"/>
  <c r="E31" i="267"/>
  <c r="D31" i="267"/>
  <c r="C31" i="267"/>
  <c r="B31" i="267"/>
  <c r="J29" i="267"/>
  <c r="G29" i="267"/>
  <c r="E29" i="267"/>
  <c r="D29" i="267"/>
  <c r="C29" i="267"/>
  <c r="B29" i="267"/>
  <c r="J28" i="267"/>
  <c r="G28" i="267"/>
  <c r="D28" i="267"/>
  <c r="C28" i="267"/>
  <c r="B28" i="267"/>
  <c r="J25" i="267"/>
  <c r="G25" i="267"/>
  <c r="D25" i="267"/>
  <c r="C25" i="267"/>
  <c r="B25" i="267"/>
  <c r="J24" i="267"/>
  <c r="I24" i="267"/>
  <c r="H24" i="267"/>
  <c r="G24" i="267"/>
  <c r="F24" i="267"/>
  <c r="E24" i="267"/>
  <c r="D24" i="267"/>
  <c r="C24" i="267"/>
  <c r="B24" i="267"/>
  <c r="J23" i="267"/>
  <c r="G23" i="267"/>
  <c r="D23" i="267"/>
  <c r="C23" i="267"/>
  <c r="B23" i="267"/>
  <c r="J22" i="267"/>
  <c r="I22" i="267"/>
  <c r="H22" i="267"/>
  <c r="G22" i="267"/>
  <c r="F22" i="267"/>
  <c r="E22" i="267"/>
  <c r="D22" i="267"/>
  <c r="C22" i="267"/>
  <c r="B22" i="267"/>
  <c r="A22" i="267"/>
  <c r="J21" i="267"/>
  <c r="G21" i="267"/>
  <c r="F21" i="267"/>
  <c r="H21" i="267" s="1"/>
  <c r="I21" i="267" s="1"/>
  <c r="E21" i="267"/>
  <c r="D21" i="267"/>
  <c r="C21" i="267"/>
  <c r="B21" i="267"/>
  <c r="A21" i="267"/>
  <c r="J20" i="267"/>
  <c r="G20" i="267"/>
  <c r="D20" i="267"/>
  <c r="C20" i="267"/>
  <c r="B20" i="267"/>
  <c r="J19" i="267"/>
  <c r="G19" i="267"/>
  <c r="D19" i="267"/>
  <c r="C19" i="267"/>
  <c r="B19" i="267"/>
  <c r="J18" i="267"/>
  <c r="G18" i="267"/>
  <c r="D18" i="267"/>
  <c r="C18" i="267"/>
  <c r="B18" i="267"/>
  <c r="J17" i="267"/>
  <c r="G17" i="267"/>
  <c r="F17" i="267"/>
  <c r="H17" i="267" s="1"/>
  <c r="I17" i="267" s="1"/>
  <c r="E17" i="267"/>
  <c r="D17" i="267"/>
  <c r="C17" i="267"/>
  <c r="B17" i="267"/>
  <c r="J16" i="267"/>
  <c r="G16" i="267"/>
  <c r="F16" i="267"/>
  <c r="H16" i="267" s="1"/>
  <c r="I16" i="267" s="1"/>
  <c r="E16" i="267"/>
  <c r="D16" i="267"/>
  <c r="C16" i="267"/>
  <c r="B16" i="267"/>
  <c r="J15" i="267"/>
  <c r="G15" i="267"/>
  <c r="F15" i="267"/>
  <c r="H15" i="267" s="1"/>
  <c r="I15" i="267" s="1"/>
  <c r="E15" i="267"/>
  <c r="D15" i="267"/>
  <c r="C15" i="267"/>
  <c r="B15" i="267"/>
  <c r="J14" i="267"/>
  <c r="G14" i="267"/>
  <c r="F14" i="267"/>
  <c r="H14" i="267" s="1"/>
  <c r="I14" i="267" s="1"/>
  <c r="E14" i="267"/>
  <c r="D14" i="267"/>
  <c r="C14" i="267"/>
  <c r="B14" i="267"/>
  <c r="J13" i="267"/>
  <c r="G13" i="267"/>
  <c r="F13" i="267"/>
  <c r="H13" i="267" s="1"/>
  <c r="I13" i="267" s="1"/>
  <c r="E13" i="267"/>
  <c r="D13" i="267"/>
  <c r="C13" i="267"/>
  <c r="B13" i="267"/>
  <c r="J12" i="267"/>
  <c r="G12" i="267"/>
  <c r="F12" i="267"/>
  <c r="H12" i="267" s="1"/>
  <c r="I12" i="267" s="1"/>
  <c r="E12" i="267"/>
  <c r="D12" i="267"/>
  <c r="C12" i="267"/>
  <c r="B12" i="267"/>
  <c r="J11" i="267"/>
  <c r="G11" i="267"/>
  <c r="D11" i="267"/>
  <c r="C11" i="267"/>
  <c r="B11" i="267"/>
  <c r="J10" i="267"/>
  <c r="G10" i="267"/>
  <c r="F10" i="267"/>
  <c r="E10" i="267"/>
  <c r="D10" i="267"/>
  <c r="C10" i="267"/>
  <c r="B10" i="267"/>
  <c r="J9" i="267"/>
  <c r="G9" i="267"/>
  <c r="F9" i="267"/>
  <c r="H9" i="267" s="1"/>
  <c r="I9" i="267" s="1"/>
  <c r="E9" i="267"/>
  <c r="D9" i="267"/>
  <c r="C9" i="267"/>
  <c r="B9" i="267"/>
  <c r="J8" i="267"/>
  <c r="G8" i="267"/>
  <c r="F8" i="267"/>
  <c r="H8" i="267" s="1"/>
  <c r="I8" i="267" s="1"/>
  <c r="E8" i="267"/>
  <c r="D8" i="267"/>
  <c r="C8" i="267"/>
  <c r="B8" i="267"/>
  <c r="J7" i="267"/>
  <c r="G7" i="267"/>
  <c r="F7" i="267"/>
  <c r="H7" i="267" s="1"/>
  <c r="I7" i="267" s="1"/>
  <c r="E7" i="267"/>
  <c r="D7" i="267"/>
  <c r="C7" i="267"/>
  <c r="B7" i="267"/>
  <c r="J6" i="267"/>
  <c r="I6" i="267"/>
  <c r="H6" i="267"/>
  <c r="G6" i="267"/>
  <c r="F6" i="267"/>
  <c r="E6" i="267"/>
  <c r="D6" i="267"/>
  <c r="C6" i="267"/>
  <c r="B6" i="267"/>
  <c r="J3" i="267"/>
  <c r="I3" i="267"/>
  <c r="H3" i="267"/>
  <c r="G3" i="267"/>
  <c r="F3" i="267"/>
  <c r="E3" i="267"/>
  <c r="D3" i="267"/>
  <c r="C3" i="267"/>
  <c r="B3" i="267"/>
  <c r="C2" i="267"/>
  <c r="B2" i="267"/>
  <c r="A2" i="267"/>
  <c r="A1" i="267"/>
  <c r="B8" i="331"/>
  <c r="B4" i="331"/>
  <c r="A1" i="331"/>
  <c r="D166" i="332"/>
  <c r="D165" i="332"/>
  <c r="D164" i="332"/>
  <c r="D163" i="332"/>
  <c r="D162" i="332"/>
  <c r="D161" i="332"/>
  <c r="D160" i="332"/>
  <c r="D159" i="332"/>
  <c r="D158" i="332"/>
  <c r="D157" i="332"/>
  <c r="D155" i="332"/>
  <c r="D154" i="332"/>
  <c r="D153" i="332"/>
  <c r="D152" i="332"/>
  <c r="D151" i="332"/>
  <c r="D150" i="332"/>
  <c r="D149" i="332"/>
  <c r="D148" i="332"/>
  <c r="D147" i="332"/>
  <c r="D146" i="332"/>
  <c r="D144" i="332"/>
  <c r="D143" i="332"/>
  <c r="D142" i="332"/>
  <c r="D141" i="332"/>
  <c r="D140" i="332"/>
  <c r="D139" i="332"/>
  <c r="D138" i="332"/>
  <c r="D137" i="332"/>
  <c r="D136" i="332"/>
  <c r="D135" i="332"/>
  <c r="D133" i="332"/>
  <c r="D132" i="332"/>
  <c r="D131" i="332"/>
  <c r="D130" i="332"/>
  <c r="D129" i="332"/>
  <c r="D128" i="332"/>
  <c r="D127" i="332"/>
  <c r="D126" i="332"/>
  <c r="D125" i="332"/>
  <c r="D124" i="332"/>
  <c r="D122" i="332"/>
  <c r="D121" i="332"/>
  <c r="D120" i="332"/>
  <c r="D119" i="332"/>
  <c r="D118" i="332"/>
  <c r="D117" i="332"/>
  <c r="D116" i="332"/>
  <c r="D115" i="332"/>
  <c r="D114" i="332"/>
  <c r="D113" i="332"/>
  <c r="D111" i="332"/>
  <c r="D110" i="332"/>
  <c r="D109" i="332"/>
  <c r="D108" i="332"/>
  <c r="D107" i="332"/>
  <c r="D106" i="332"/>
  <c r="D105" i="332"/>
  <c r="D104" i="332"/>
  <c r="D103" i="332"/>
  <c r="D102" i="332"/>
  <c r="D100" i="332"/>
  <c r="D99" i="332"/>
  <c r="D98" i="332"/>
  <c r="D97" i="332"/>
  <c r="D96" i="332"/>
  <c r="D95" i="332"/>
  <c r="D94" i="332"/>
  <c r="D93" i="332"/>
  <c r="D92" i="332"/>
  <c r="D91" i="332"/>
  <c r="D89" i="332"/>
  <c r="D88" i="332"/>
  <c r="D87" i="332"/>
  <c r="D86" i="332"/>
  <c r="D85" i="332"/>
  <c r="D84" i="332"/>
  <c r="D83" i="332"/>
  <c r="D82" i="332"/>
  <c r="D81" i="332"/>
  <c r="D80" i="332"/>
  <c r="D78" i="332"/>
  <c r="D77" i="332"/>
  <c r="D76" i="332"/>
  <c r="D75" i="332"/>
  <c r="D74" i="332"/>
  <c r="D73" i="332"/>
  <c r="D72" i="332"/>
  <c r="D71" i="332"/>
  <c r="D70" i="332"/>
  <c r="D69" i="332"/>
  <c r="D67" i="332"/>
  <c r="D66" i="332"/>
  <c r="D65" i="332"/>
  <c r="D64" i="332"/>
  <c r="D63" i="332"/>
  <c r="D62" i="332"/>
  <c r="D61" i="332"/>
  <c r="D60" i="332"/>
  <c r="D59" i="332"/>
  <c r="D58" i="332"/>
  <c r="D56" i="332"/>
  <c r="D55" i="332"/>
  <c r="D54" i="332"/>
  <c r="D53" i="332"/>
  <c r="D52" i="332"/>
  <c r="D51" i="332"/>
  <c r="D50" i="332"/>
  <c r="D49" i="332"/>
  <c r="D48" i="332"/>
  <c r="D47" i="332"/>
  <c r="D45" i="332"/>
  <c r="D44" i="332"/>
  <c r="D43" i="332"/>
  <c r="D42" i="332"/>
  <c r="D41" i="332"/>
  <c r="D40" i="332"/>
  <c r="D39" i="332"/>
  <c r="D38" i="332"/>
  <c r="D37" i="332"/>
  <c r="D36" i="332"/>
  <c r="D34" i="332"/>
  <c r="D33" i="332"/>
  <c r="D32" i="332"/>
  <c r="D31" i="332"/>
  <c r="D30" i="332"/>
  <c r="D29" i="332"/>
  <c r="D28" i="332"/>
  <c r="D27" i="332"/>
  <c r="D26" i="332"/>
  <c r="D25" i="332"/>
  <c r="D23" i="332"/>
  <c r="D22" i="332"/>
  <c r="D21" i="332"/>
  <c r="D20" i="332"/>
  <c r="D19" i="332"/>
  <c r="D18" i="332"/>
  <c r="D17" i="332"/>
  <c r="D16" i="332"/>
  <c r="A16" i="332"/>
  <c r="D15" i="332"/>
  <c r="A15" i="332"/>
  <c r="D14" i="332"/>
  <c r="A14" i="332"/>
  <c r="A13" i="332"/>
  <c r="D12" i="332"/>
  <c r="A12" i="332"/>
  <c r="D11" i="332"/>
  <c r="A11" i="332"/>
  <c r="D10" i="332"/>
  <c r="A10" i="332"/>
  <c r="D9" i="332"/>
  <c r="A9" i="332"/>
  <c r="D8" i="332"/>
  <c r="A8" i="332"/>
  <c r="D7" i="332"/>
  <c r="A7" i="332"/>
  <c r="D6" i="332"/>
  <c r="A6" i="332"/>
  <c r="D5" i="332"/>
  <c r="A5" i="332"/>
  <c r="D4" i="332"/>
  <c r="A4" i="332"/>
  <c r="D3" i="332"/>
  <c r="A3" i="332"/>
  <c r="A2" i="332"/>
  <c r="C307" i="322"/>
  <c r="B27" i="322"/>
  <c r="O7" i="322"/>
  <c r="N7" i="322"/>
  <c r="M7" i="322"/>
  <c r="L7" i="322"/>
  <c r="K7" i="322"/>
  <c r="J7" i="322"/>
  <c r="I7" i="322"/>
  <c r="H7" i="322"/>
  <c r="G7" i="322"/>
  <c r="F7" i="322"/>
  <c r="E7" i="322"/>
  <c r="A7" i="322"/>
  <c r="O6" i="322"/>
  <c r="N6" i="322"/>
  <c r="M6" i="322"/>
  <c r="L6" i="322"/>
  <c r="K6" i="322"/>
  <c r="J6" i="322"/>
  <c r="I6" i="322"/>
  <c r="H6" i="322"/>
  <c r="G6" i="322"/>
  <c r="F6" i="322"/>
  <c r="E6" i="322"/>
  <c r="A6" i="322"/>
  <c r="O5" i="322"/>
  <c r="N5" i="322"/>
  <c r="M5" i="322"/>
  <c r="L5" i="322"/>
  <c r="K5" i="322"/>
  <c r="J5" i="322"/>
  <c r="I5" i="322"/>
  <c r="H5" i="322"/>
  <c r="G5" i="322"/>
  <c r="F5" i="322"/>
  <c r="E5" i="322"/>
  <c r="A5" i="322"/>
  <c r="O4" i="322"/>
  <c r="N4" i="322"/>
  <c r="M4" i="322"/>
  <c r="L4" i="322"/>
  <c r="K4" i="322"/>
  <c r="J4" i="322"/>
  <c r="I4" i="322"/>
  <c r="H4" i="322"/>
  <c r="G4" i="322"/>
  <c r="F4" i="322"/>
  <c r="E4" i="322"/>
  <c r="A4" i="322"/>
  <c r="O3" i="322"/>
  <c r="N3" i="322"/>
  <c r="M3" i="322"/>
  <c r="L3" i="322"/>
  <c r="K3" i="322"/>
  <c r="J3" i="322"/>
  <c r="I3" i="322"/>
  <c r="H3" i="322"/>
  <c r="G3" i="322"/>
  <c r="F3" i="322"/>
  <c r="E3" i="322"/>
  <c r="A3" i="322"/>
  <c r="O2" i="322"/>
  <c r="N2" i="322"/>
  <c r="M2" i="322"/>
  <c r="L2" i="322"/>
  <c r="K2" i="322"/>
  <c r="J2" i="322"/>
  <c r="I2" i="322"/>
  <c r="H2" i="322"/>
  <c r="G2" i="322"/>
  <c r="F2" i="322"/>
  <c r="E2" i="322"/>
  <c r="A2" i="322"/>
  <c r="B107" i="100"/>
  <c r="B106" i="100"/>
  <c r="B105" i="100"/>
  <c r="B104" i="100"/>
  <c r="B103" i="100"/>
  <c r="B102" i="100"/>
  <c r="F100" i="100"/>
  <c r="E100" i="100"/>
  <c r="B100" i="100"/>
  <c r="F99" i="100"/>
  <c r="E99" i="100"/>
  <c r="B99" i="100"/>
  <c r="F98" i="100"/>
  <c r="E98" i="100"/>
  <c r="B98" i="100"/>
  <c r="F97" i="100"/>
  <c r="E97" i="100"/>
  <c r="B97" i="100"/>
  <c r="F96" i="100"/>
  <c r="E96" i="100"/>
  <c r="B96" i="100"/>
  <c r="F95" i="100"/>
  <c r="E95" i="100"/>
  <c r="B95" i="100"/>
  <c r="E94" i="100"/>
  <c r="B94" i="100"/>
  <c r="E93" i="100"/>
  <c r="B93" i="100"/>
  <c r="B92" i="100"/>
  <c r="B91" i="100"/>
  <c r="B90" i="100"/>
  <c r="B89" i="100"/>
  <c r="B88" i="100"/>
  <c r="B87" i="100"/>
  <c r="B86" i="100"/>
  <c r="B85" i="100"/>
  <c r="B84" i="100"/>
  <c r="F83" i="100"/>
  <c r="E83" i="100"/>
  <c r="B83" i="100"/>
  <c r="F82" i="100"/>
  <c r="E82" i="100"/>
  <c r="B82" i="100"/>
  <c r="F81" i="100"/>
  <c r="E81" i="100"/>
  <c r="B81" i="100"/>
  <c r="F80" i="100"/>
  <c r="E80" i="100"/>
  <c r="B80" i="100"/>
  <c r="F79" i="100"/>
  <c r="E79" i="100"/>
  <c r="B79" i="100"/>
  <c r="F78" i="100"/>
  <c r="E78" i="100"/>
  <c r="B78" i="100"/>
  <c r="F77" i="100"/>
  <c r="E77" i="100"/>
  <c r="B77" i="100"/>
  <c r="A75" i="100"/>
  <c r="B73" i="100"/>
  <c r="D64" i="100"/>
  <c r="B61" i="100"/>
  <c r="B47" i="100"/>
  <c r="B14" i="100"/>
  <c r="B13" i="100"/>
  <c r="B12" i="100"/>
  <c r="B5" i="100"/>
  <c r="B4" i="100"/>
  <c r="B3" i="100"/>
  <c r="B2" i="100"/>
  <c r="X38" i="329"/>
  <c r="X36" i="329"/>
  <c r="X11" i="329"/>
  <c r="A1" i="328"/>
  <c r="I8" i="270" l="1"/>
  <c r="I33" i="270" s="1"/>
  <c r="F39" i="177"/>
  <c r="E43" i="267"/>
  <c r="I17" i="325"/>
  <c r="J17" i="325" s="1"/>
  <c r="G75" i="333"/>
  <c r="I118" i="333"/>
  <c r="J118" i="333" s="1"/>
  <c r="G7" i="333"/>
  <c r="I7" i="333" s="1"/>
  <c r="J7" i="333" s="1"/>
  <c r="I17" i="333"/>
  <c r="J17" i="333" s="1"/>
  <c r="F7" i="333"/>
  <c r="F166" i="333" s="1"/>
  <c r="G138" i="333"/>
  <c r="I138" i="333" s="1"/>
  <c r="J138" i="333" s="1"/>
  <c r="I75" i="333"/>
  <c r="J75" i="333" s="1"/>
  <c r="I76" i="333"/>
  <c r="J76" i="333" s="1"/>
  <c r="F49" i="318"/>
  <c r="F104" i="318" s="1"/>
  <c r="G49" i="318"/>
  <c r="I49" i="318" s="1"/>
  <c r="J49" i="318" s="1"/>
  <c r="F106" i="318"/>
  <c r="G106" i="318"/>
  <c r="I30" i="318"/>
  <c r="G138" i="335"/>
  <c r="I138" i="335" s="1"/>
  <c r="J138" i="335" s="1"/>
  <c r="G7" i="335"/>
  <c r="F7" i="335"/>
  <c r="F166" i="335" s="1"/>
  <c r="F166" i="325"/>
  <c r="G166" i="325"/>
  <c r="I166" i="325" s="1"/>
  <c r="J166" i="325" s="1"/>
  <c r="I7" i="325"/>
  <c r="J7" i="325" s="1"/>
  <c r="G7" i="326"/>
  <c r="G75" i="242"/>
  <c r="I75" i="242" s="1"/>
  <c r="J75" i="242" s="1"/>
  <c r="F166" i="242"/>
  <c r="G166" i="242"/>
  <c r="I166" i="242" s="1"/>
  <c r="J166" i="242" s="1"/>
  <c r="J193" i="324"/>
  <c r="I28" i="268"/>
  <c r="J28" i="268" s="1"/>
  <c r="G28" i="268"/>
  <c r="I27" i="268"/>
  <c r="J27" i="268" s="1"/>
  <c r="J182" i="324"/>
  <c r="I26" i="268"/>
  <c r="J26" i="268" s="1"/>
  <c r="J160" i="324"/>
  <c r="I25" i="268"/>
  <c r="J25" i="268" s="1"/>
  <c r="F314" i="324"/>
  <c r="F39" i="268"/>
  <c r="G314" i="324"/>
  <c r="I314" i="324" s="1"/>
  <c r="J314" i="324" s="1"/>
  <c r="I149" i="324"/>
  <c r="G24" i="268"/>
  <c r="F145" i="324"/>
  <c r="G145" i="324"/>
  <c r="I145" i="324" s="1"/>
  <c r="J145" i="324" s="1"/>
  <c r="F21" i="268"/>
  <c r="G6" i="268"/>
  <c r="I7" i="324"/>
  <c r="J7" i="324" s="1"/>
  <c r="I74" i="268"/>
  <c r="J74" i="268" s="1"/>
  <c r="F29" i="267"/>
  <c r="I70" i="268"/>
  <c r="J70" i="268" s="1"/>
  <c r="F63" i="268"/>
  <c r="G63" i="268"/>
  <c r="I43" i="268"/>
  <c r="J13" i="180"/>
  <c r="H10" i="180"/>
  <c r="I10" i="180" s="1"/>
  <c r="H16" i="180"/>
  <c r="B37" i="172"/>
  <c r="J10" i="180"/>
  <c r="H14" i="180"/>
  <c r="I15" i="180"/>
  <c r="J16" i="180"/>
  <c r="H13" i="180"/>
  <c r="B35" i="172"/>
  <c r="G38" i="181"/>
  <c r="J37" i="269"/>
  <c r="I8" i="269"/>
  <c r="J8" i="269" s="1"/>
  <c r="G33" i="269"/>
  <c r="G64" i="269" s="1"/>
  <c r="J36" i="269"/>
  <c r="F64" i="269"/>
  <c r="J25" i="269"/>
  <c r="I33" i="269"/>
  <c r="J33" i="269" s="1"/>
  <c r="J33" i="270"/>
  <c r="I63" i="270"/>
  <c r="J63" i="270" s="1"/>
  <c r="J8" i="270"/>
  <c r="K21" i="175"/>
  <c r="K26" i="175"/>
  <c r="K27" i="175" s="1"/>
  <c r="J50" i="267"/>
  <c r="D50" i="267"/>
  <c r="C26" i="175"/>
  <c r="C27" i="175" s="1"/>
  <c r="I26" i="175"/>
  <c r="I27" i="175" s="1"/>
  <c r="E26" i="175"/>
  <c r="E27" i="175" s="1"/>
  <c r="H26" i="175"/>
  <c r="H27" i="175" s="1"/>
  <c r="F36" i="267"/>
  <c r="F26" i="178"/>
  <c r="G39" i="174" s="1"/>
  <c r="F38" i="267"/>
  <c r="G14" i="174"/>
  <c r="G13" i="174"/>
  <c r="F41" i="178"/>
  <c r="F39" i="267"/>
  <c r="G49" i="174"/>
  <c r="G10" i="174" s="1"/>
  <c r="G99" i="330"/>
  <c r="F20" i="241"/>
  <c r="G20" i="241"/>
  <c r="G13" i="241"/>
  <c r="I13" i="241" s="1"/>
  <c r="J13" i="241" s="1"/>
  <c r="F16" i="241"/>
  <c r="G6" i="330"/>
  <c r="I6" i="330" s="1"/>
  <c r="J6" i="330" s="1"/>
  <c r="F8" i="241"/>
  <c r="F6" i="241" s="1"/>
  <c r="G6" i="241"/>
  <c r="I6" i="241" s="1"/>
  <c r="J6" i="241" s="1"/>
  <c r="F75" i="330"/>
  <c r="G19" i="241"/>
  <c r="G75" i="330"/>
  <c r="I75" i="330" s="1"/>
  <c r="J75" i="330" s="1"/>
  <c r="I21" i="241"/>
  <c r="F99" i="330"/>
  <c r="I100" i="330"/>
  <c r="F125" i="330"/>
  <c r="F256" i="330" s="1"/>
  <c r="G11" i="241"/>
  <c r="G10" i="241" s="1"/>
  <c r="G26" i="330"/>
  <c r="I26" i="330" s="1"/>
  <c r="J26" i="330" s="1"/>
  <c r="F11" i="241"/>
  <c r="F10" i="241" s="1"/>
  <c r="I226" i="330"/>
  <c r="J226" i="330" s="1"/>
  <c r="G36" i="241"/>
  <c r="I36" i="241" s="1"/>
  <c r="J36" i="241" s="1"/>
  <c r="G40" i="241"/>
  <c r="G197" i="330"/>
  <c r="I197" i="330" s="1"/>
  <c r="J197" i="330" s="1"/>
  <c r="F197" i="330"/>
  <c r="F39" i="241"/>
  <c r="F148" i="330"/>
  <c r="F33" i="241"/>
  <c r="G148" i="330"/>
  <c r="I148" i="330" s="1"/>
  <c r="J148" i="330" s="1"/>
  <c r="F31" i="241"/>
  <c r="I132" i="330"/>
  <c r="J132" i="330" s="1"/>
  <c r="G29" i="241"/>
  <c r="I29" i="241" s="1"/>
  <c r="J29" i="241" s="1"/>
  <c r="F29" i="241"/>
  <c r="I30" i="241"/>
  <c r="J30" i="241" s="1"/>
  <c r="G128" i="330"/>
  <c r="I128" i="330" s="1"/>
  <c r="J128" i="330" s="1"/>
  <c r="G43" i="241"/>
  <c r="I44" i="241"/>
  <c r="G34" i="241"/>
  <c r="I34" i="241" s="1"/>
  <c r="J34" i="241" s="1"/>
  <c r="I149" i="330"/>
  <c r="J149" i="330" s="1"/>
  <c r="I50" i="323"/>
  <c r="J50" i="323" s="1"/>
  <c r="I39" i="323"/>
  <c r="J39" i="323" s="1"/>
  <c r="F21" i="272"/>
  <c r="G171" i="323"/>
  <c r="I171" i="323" s="1"/>
  <c r="J171" i="323" s="1"/>
  <c r="I21" i="272"/>
  <c r="J21" i="272" s="1"/>
  <c r="G21" i="272"/>
  <c r="J7" i="272"/>
  <c r="I17" i="323"/>
  <c r="J17" i="323" s="1"/>
  <c r="F171" i="323"/>
  <c r="G39" i="272"/>
  <c r="F39" i="272"/>
  <c r="F339" i="323"/>
  <c r="I39" i="272"/>
  <c r="J24" i="272"/>
  <c r="G339" i="323"/>
  <c r="E11" i="267"/>
  <c r="F11" i="267"/>
  <c r="H11" i="267" s="1"/>
  <c r="I11" i="267" s="1"/>
  <c r="G55" i="174"/>
  <c r="G17" i="174" s="1"/>
  <c r="H10" i="267"/>
  <c r="I10" i="267" s="1"/>
  <c r="I22" i="182"/>
  <c r="J22" i="182" s="1"/>
  <c r="F38" i="182"/>
  <c r="F42" i="182" s="1"/>
  <c r="F44" i="182" s="1"/>
  <c r="F46" i="182" s="1"/>
  <c r="F48" i="182" s="1"/>
  <c r="G38" i="182"/>
  <c r="G42" i="182" s="1"/>
  <c r="G44" i="182" s="1"/>
  <c r="G46" i="182" s="1"/>
  <c r="G48" i="182" s="1"/>
  <c r="E18" i="267"/>
  <c r="E19" i="267" s="1"/>
  <c r="F18" i="267"/>
  <c r="F19" i="267" s="1"/>
  <c r="G45" i="174"/>
  <c r="G7" i="174" s="1"/>
  <c r="I36" i="182"/>
  <c r="G166" i="333" l="1"/>
  <c r="I166" i="333" s="1"/>
  <c r="J166" i="333" s="1"/>
  <c r="G104" i="318"/>
  <c r="I104" i="318" s="1"/>
  <c r="J104" i="318" s="1"/>
  <c r="I106" i="318"/>
  <c r="J106" i="318" s="1"/>
  <c r="J30" i="318"/>
  <c r="G166" i="335"/>
  <c r="I166" i="335" s="1"/>
  <c r="J166" i="335" s="1"/>
  <c r="I7" i="335"/>
  <c r="J7" i="335" s="1"/>
  <c r="G166" i="326"/>
  <c r="I166" i="326" s="1"/>
  <c r="J166" i="326" s="1"/>
  <c r="I7" i="326"/>
  <c r="J7" i="326" s="1"/>
  <c r="F40" i="268"/>
  <c r="F171" i="335" s="1"/>
  <c r="G39" i="268"/>
  <c r="F316" i="324"/>
  <c r="J149" i="324"/>
  <c r="I24" i="268"/>
  <c r="G316" i="324"/>
  <c r="I316" i="324" s="1"/>
  <c r="J316" i="324" s="1"/>
  <c r="F86" i="268"/>
  <c r="F171" i="326"/>
  <c r="F171" i="242"/>
  <c r="E28" i="267"/>
  <c r="G21" i="268"/>
  <c r="I6" i="268"/>
  <c r="F33" i="267"/>
  <c r="H33" i="267" s="1"/>
  <c r="I33" i="267" s="1"/>
  <c r="H29" i="267"/>
  <c r="I29" i="267" s="1"/>
  <c r="J43" i="268"/>
  <c r="I63" i="268"/>
  <c r="J63" i="268" s="1"/>
  <c r="G42" i="181"/>
  <c r="I38" i="181"/>
  <c r="J38" i="181" s="1"/>
  <c r="I64" i="269"/>
  <c r="J64" i="269" s="1"/>
  <c r="F43" i="178"/>
  <c r="F54" i="178" s="1"/>
  <c r="G125" i="330"/>
  <c r="I125" i="330" s="1"/>
  <c r="I256" i="330" s="1"/>
  <c r="F26" i="241"/>
  <c r="G16" i="241"/>
  <c r="I16" i="241" s="1"/>
  <c r="J16" i="241" s="1"/>
  <c r="I19" i="241"/>
  <c r="J19" i="241" s="1"/>
  <c r="J100" i="330"/>
  <c r="I99" i="330"/>
  <c r="J99" i="330" s="1"/>
  <c r="I20" i="241"/>
  <c r="J20" i="241" s="1"/>
  <c r="J21" i="241"/>
  <c r="I11" i="241"/>
  <c r="J11" i="241" s="1"/>
  <c r="I10" i="241"/>
  <c r="J10" i="241" s="1"/>
  <c r="I221" i="330"/>
  <c r="J221" i="330" s="1"/>
  <c r="F247" i="330"/>
  <c r="F248" i="330" s="1"/>
  <c r="I40" i="241"/>
  <c r="J40" i="241" s="1"/>
  <c r="G39" i="241"/>
  <c r="I39" i="241" s="1"/>
  <c r="J39" i="241" s="1"/>
  <c r="F49" i="241"/>
  <c r="G247" i="330"/>
  <c r="I43" i="241"/>
  <c r="J43" i="241" s="1"/>
  <c r="J44" i="241"/>
  <c r="I247" i="330"/>
  <c r="J247" i="330" s="1"/>
  <c r="G33" i="241"/>
  <c r="I33" i="241" s="1"/>
  <c r="F40" i="272"/>
  <c r="G40" i="272"/>
  <c r="F341" i="323"/>
  <c r="I339" i="323"/>
  <c r="J339" i="323" s="1"/>
  <c r="G341" i="323"/>
  <c r="I341" i="323" s="1"/>
  <c r="J341" i="323" s="1"/>
  <c r="J39" i="272"/>
  <c r="I40" i="272"/>
  <c r="J40" i="272" s="1"/>
  <c r="G27" i="174"/>
  <c r="F20" i="267"/>
  <c r="F23" i="267" s="1"/>
  <c r="G28" i="174"/>
  <c r="E20" i="267"/>
  <c r="E23" i="267" s="1"/>
  <c r="E25" i="267" s="1"/>
  <c r="G26" i="174"/>
  <c r="H19" i="267"/>
  <c r="I19" i="267" s="1"/>
  <c r="H18" i="267"/>
  <c r="I18" i="267" s="1"/>
  <c r="J36" i="182"/>
  <c r="I38" i="182"/>
  <c r="J38" i="182" s="1"/>
  <c r="G40" i="268" l="1"/>
  <c r="G171" i="242" s="1"/>
  <c r="I39" i="268"/>
  <c r="J39" i="268" s="1"/>
  <c r="J24" i="268"/>
  <c r="F28" i="267"/>
  <c r="H28" i="267" s="1"/>
  <c r="I28" i="267" s="1"/>
  <c r="G46" i="174"/>
  <c r="G8" i="174" s="1"/>
  <c r="G86" i="268"/>
  <c r="J6" i="268"/>
  <c r="I21" i="268"/>
  <c r="G44" i="181"/>
  <c r="I44" i="181" s="1"/>
  <c r="J44" i="181" s="1"/>
  <c r="I42" i="181"/>
  <c r="J42" i="181" s="1"/>
  <c r="J125" i="330"/>
  <c r="G26" i="241"/>
  <c r="G248" i="330"/>
  <c r="I248" i="330" s="1"/>
  <c r="J248" i="330" s="1"/>
  <c r="G256" i="330"/>
  <c r="F50" i="241"/>
  <c r="I26" i="241"/>
  <c r="J26" i="241" s="1"/>
  <c r="F257" i="330"/>
  <c r="G257" i="330"/>
  <c r="I257" i="330"/>
  <c r="G49" i="241"/>
  <c r="J33" i="241"/>
  <c r="I49" i="241"/>
  <c r="H20" i="267"/>
  <c r="I20" i="267" s="1"/>
  <c r="H23" i="267"/>
  <c r="I23" i="267" s="1"/>
  <c r="F25" i="267"/>
  <c r="H25" i="267" s="1"/>
  <c r="I25" i="267" s="1"/>
  <c r="G171" i="326" l="1"/>
  <c r="G171" i="335"/>
  <c r="J21" i="268"/>
  <c r="I40" i="268"/>
  <c r="J40" i="268" s="1"/>
  <c r="G50" i="241"/>
  <c r="I50" i="241"/>
  <c r="J50" i="241" s="1"/>
  <c r="J49" i="241"/>
</calcChain>
</file>

<file path=xl/sharedStrings.xml><?xml version="1.0" encoding="utf-8"?>
<sst xmlns="http://schemas.openxmlformats.org/spreadsheetml/2006/main" count="3022" uniqueCount="1476">
  <si>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</si>
  <si>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</si>
  <si>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</si>
  <si>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</si>
  <si>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</si>
  <si>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</si>
  <si>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</si>
  <si>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</si>
  <si>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</si>
  <si>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</si>
  <si>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</si>
  <si>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</si>
  <si>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</si>
  <si>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</si>
  <si>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</si>
  <si>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</si>
  <si>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</si>
  <si>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</si>
  <si>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</si>
  <si>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</si>
  <si>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</si>
  <si>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</si>
  <si>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</si>
  <si>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</si>
  <si>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</si>
  <si>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</si>
  <si>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</si>
  <si>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</si>
  <si>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</si>
  <si>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</si>
  <si>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</si>
  <si>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</si>
  <si>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</si>
  <si>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</si>
  <si>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</si>
  <si>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</si>
  <si>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</si>
  <si>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</si>
  <si>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</si>
  <si>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</si>
  <si>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</si>
  <si>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</si>
  <si>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</si>
  <si>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</si>
  <si>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</si>
  <si>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</si>
  <si>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</si>
  <si>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</si>
  <si>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</si>
  <si>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</si>
  <si>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</si>
  <si>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</si>
  <si>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</si>
  <si>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</si>
  <si>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</si>
  <si>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</si>
  <si>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</si>
  <si>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</si>
  <si>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</si>
  <si>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</si>
  <si>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</si>
  <si>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</si>
  <si>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</si>
  <si>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</si>
  <si>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</si>
  <si>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</si>
  <si>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</si>
  <si>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</si>
  <si>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</si>
  <si>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</si>
  <si>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</si>
  <si>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</si>
  <si>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</si>
  <si>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</si>
  <si>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</si>
  <si>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</si>
  <si>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</si>
  <si>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</si>
  <si>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</si>
  <si>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</si>
  <si>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</si>
  <si>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</si>
  <si>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</si>
  <si>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</si>
  <si>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</si>
  <si>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</si>
  <si>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</si>
  <si>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</si>
  <si>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</si>
  <si>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</si>
  <si>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</si>
  <si>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</si>
  <si>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</si>
  <si>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</si>
  <si>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</si>
  <si>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</si>
  <si>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</si>
  <si>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</si>
  <si>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</si>
  <si>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</si>
  <si>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</si>
  <si>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</si>
  <si>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</si>
  <si>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</si>
  <si>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</si>
  <si>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</si>
  <si>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</si>
  <si>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</si>
  <si>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</si>
  <si>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</si>
  <si>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</si>
  <si>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</si>
  <si>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</si>
  <si>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</si>
  <si>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</si>
  <si>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</si>
  <si>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</si>
  <si>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</si>
  <si>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</si>
  <si>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</si>
  <si>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</si>
  <si>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</si>
  <si>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</si>
  <si>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</si>
  <si>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</si>
  <si>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</si>
  <si>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</si>
  <si>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</si>
  <si>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</si>
  <si>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</si>
  <si>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</si>
  <si>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</si>
  <si>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</si>
  <si>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</si>
  <si>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</si>
  <si>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</si>
  <si>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</si>
  <si>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</si>
  <si>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</si>
  <si>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</si>
  <si>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</si>
  <si>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</si>
  <si>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</si>
  <si>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</si>
  <si>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</si>
  <si>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</si>
  <si>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</si>
  <si>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</si>
  <si>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</si>
  <si>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</si>
  <si>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</si>
  <si>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</si>
  <si>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</si>
  <si>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</si>
  <si>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</si>
  <si>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</si>
  <si>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</si>
  <si>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</si>
  <si>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</si>
  <si>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</si>
  <si>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</si>
  <si>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</si>
  <si>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</si>
  <si>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</si>
  <si>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</si>
  <si>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</si>
  <si>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</si>
  <si>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</si>
  <si>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</si>
  <si>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</si>
  <si>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</si>
  <si>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</si>
  <si>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</si>
  <si>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</si>
  <si>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</si>
  <si>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</si>
  <si>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</si>
  <si>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</si>
  <si>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</si>
  <si>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</si>
  <si>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</si>
  <si>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</si>
  <si>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</si>
  <si>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</si>
  <si>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</si>
  <si>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</si>
  <si>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</si>
  <si>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</si>
  <si>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</si>
  <si>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</si>
  <si>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</si>
  <si>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</si>
  <si>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</si>
  <si>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</si>
  <si>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</si>
  <si>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</si>
  <si>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</si>
  <si>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</si>
  <si>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</si>
  <si>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</si>
  <si>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</si>
  <si>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</si>
  <si>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</si>
  <si>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</si>
  <si>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</si>
  <si>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</si>
  <si>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</si>
  <si>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</si>
  <si>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</si>
  <si>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</si>
  <si>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</si>
  <si>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</si>
  <si>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</si>
  <si>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</si>
  <si>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</si>
  <si>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</si>
  <si>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</si>
  <si>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</si>
  <si>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</si>
  <si>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</si>
  <si>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</si>
  <si>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</si>
  <si>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</si>
  <si>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</si>
  <si>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</si>
  <si>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</si>
  <si>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</si>
  <si>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</si>
  <si>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</si>
  <si>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</si>
  <si>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</si>
  <si>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</si>
  <si>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</si>
  <si>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</si>
  <si>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</si>
  <si>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</si>
  <si>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</si>
  <si>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</si>
  <si>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</si>
  <si>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</si>
  <si>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</si>
  <si>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</si>
  <si>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</si>
  <si>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</si>
  <si>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</si>
  <si>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</si>
  <si>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</si>
  <si>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</si>
  <si>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</si>
  <si>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</si>
  <si>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</si>
  <si>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</si>
  <si>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</si>
  <si>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</si>
  <si>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</si>
  <si>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</si>
  <si>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</si>
  <si>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</si>
  <si>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</si>
  <si>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</si>
  <si>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</si>
  <si>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</si>
  <si>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</si>
  <si>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</si>
  <si>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</si>
  <si>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</si>
  <si>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</si>
  <si>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</si>
  <si>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</si>
  <si>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</si>
  <si>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</si>
  <si>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</si>
  <si>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</si>
  <si>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</si>
  <si>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</si>
  <si>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</si>
  <si>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</si>
  <si>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</si>
  <si>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</si>
  <si>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</si>
  <si>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</si>
  <si>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</si>
  <si>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</si>
  <si>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</si>
  <si>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</si>
  <si>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</si>
  <si>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</si>
  <si>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</si>
  <si>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</si>
  <si>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</si>
  <si>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</si>
  <si>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</si>
  <si>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</si>
  <si>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</si>
  <si>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</si>
  <si>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</si>
  <si>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</si>
  <si>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</si>
  <si>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</si>
  <si>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</si>
  <si>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</si>
  <si>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</si>
  <si>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</si>
  <si>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</si>
  <si>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</si>
  <si>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</si>
  <si>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</si>
  <si>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</si>
  <si>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</si>
  <si>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</si>
  <si>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</si>
  <si>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</si>
  <si>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</si>
  <si>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</si>
  <si>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</si>
  <si>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</si>
  <si>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</si>
  <si>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</si>
  <si>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</si>
  <si>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</si>
  <si>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</si>
  <si>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</si>
  <si>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</si>
  <si>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</si>
  <si>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</si>
  <si>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</si>
  <si>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</si>
  <si>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</si>
  <si>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</si>
  <si>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</si>
  <si>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</si>
  <si>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</si>
  <si>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</si>
  <si>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</si>
  <si>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</si>
  <si>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</si>
  <si>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</si>
  <si>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</si>
  <si>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</si>
  <si>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</si>
  <si>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</si>
  <si>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</si>
  <si>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</si>
  <si>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</si>
  <si>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</si>
  <si>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</si>
  <si>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</si>
  <si>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</si>
  <si>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</si>
  <si>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</si>
  <si>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</si>
  <si>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</si>
  <si>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</si>
  <si>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</si>
  <si>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</si>
  <si>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</si>
  <si>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</si>
  <si>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</si>
  <si>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</si>
  <si>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</si>
  <si>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</si>
  <si>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</si>
  <si>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</si>
  <si>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</si>
  <si>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</si>
  <si>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</si>
  <si>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</si>
  <si>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</si>
  <si>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</si>
  <si>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</si>
  <si>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</si>
  <si>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</si>
  <si>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</si>
  <si>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</si>
  <si>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</si>
  <si>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</si>
  <si>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</si>
  <si>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</si>
  <si>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</si>
  <si>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</si>
  <si>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</si>
  <si>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</si>
  <si>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</si>
  <si>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</si>
  <si>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</si>
  <si>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</si>
  <si>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</si>
  <si>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</si>
  <si>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</si>
  <si>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</si>
  <si>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</si>
  <si>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</si>
  <si>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</si>
  <si>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</si>
  <si>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</si>
  <si>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</si>
  <si>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</si>
  <si>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</si>
  <si>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</si>
  <si>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</si>
  <si>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</si>
  <si>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</si>
  <si>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</si>
  <si>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</si>
  <si>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</si>
  <si>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</si>
  <si>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</si>
  <si>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</si>
  <si>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</si>
  <si>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</si>
  <si>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</si>
  <si>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</si>
  <si>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</si>
  <si>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</si>
  <si>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</si>
  <si>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</si>
  <si>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</si>
  <si>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</si>
  <si>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</si>
  <si>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</si>
  <si>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</si>
  <si>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</si>
  <si>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</si>
  <si>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</si>
  <si>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</si>
  <si>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</si>
  <si>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</si>
  <si>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</si>
  <si>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</si>
  <si>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</si>
  <si>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</si>
  <si>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</si>
  <si>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</si>
  <si>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</si>
  <si>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</si>
  <si>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</si>
  <si>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</si>
  <si>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</si>
  <si>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</si>
  <si>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</si>
  <si>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</si>
  <si>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</si>
  <si>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</si>
  <si>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</si>
  <si>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</si>
  <si>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</si>
  <si>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</si>
  <si>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</si>
  <si>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</si>
  <si>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</si>
  <si>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</si>
  <si>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</si>
  <si>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</si>
  <si>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</si>
  <si>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</si>
  <si>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</si>
  <si>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</si>
  <si>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</si>
  <si>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</si>
  <si>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</si>
  <si>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</si>
  <si>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</si>
  <si>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</si>
  <si>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</si>
  <si>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</si>
  <si>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</si>
  <si>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</si>
  <si>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</si>
  <si>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</si>
  <si>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</si>
  <si>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</si>
  <si>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</si>
  <si>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</si>
  <si>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</si>
  <si>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</si>
  <si>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</si>
  <si>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</si>
  <si>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</si>
  <si>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</si>
  <si>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</si>
  <si>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</si>
  <si>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</si>
  <si>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</si>
  <si>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</si>
  <si>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</si>
  <si>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</si>
  <si>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</si>
  <si>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</si>
  <si>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</si>
  <si>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</si>
  <si>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</si>
  <si>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</si>
  <si>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</si>
  <si>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</si>
  <si>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</si>
  <si>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</si>
  <si>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</si>
  <si>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</si>
  <si>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</si>
  <si>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</si>
  <si>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</si>
  <si>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</si>
  <si>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</si>
  <si>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</si>
  <si>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</si>
  <si>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</si>
  <si>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</si>
  <si>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</si>
  <si>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</si>
  <si>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</si>
  <si>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</si>
  <si>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</si>
  <si>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</si>
  <si>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</si>
  <si>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</si>
  <si>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</si>
  <si>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</si>
  <si>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</si>
  <si>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</si>
  <si>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</si>
  <si>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</si>
  <si>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</si>
  <si>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</si>
  <si>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</si>
  <si>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</si>
  <si>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</si>
  <si>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</si>
  <si>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</si>
  <si>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</si>
  <si>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</si>
  <si>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</si>
  <si>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</si>
  <si>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</si>
  <si>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</si>
  <si>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</si>
  <si>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</si>
  <si>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</si>
  <si>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</si>
  <si>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</si>
  <si>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</si>
  <si>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</si>
  <si>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</si>
  <si>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</si>
  <si>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</si>
  <si>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</si>
  <si>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</si>
  <si>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</si>
  <si>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</si>
  <si>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</si>
  <si>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</si>
  <si>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</si>
  <si>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</si>
  <si>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</si>
  <si>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</si>
  <si>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</si>
  <si>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</si>
  <si>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</si>
  <si>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</si>
  <si>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</si>
  <si>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</si>
  <si>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</si>
  <si>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</si>
  <si>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</si>
  <si>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</si>
  <si>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</si>
  <si>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</si>
  <si>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</si>
  <si>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</si>
  <si>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</si>
  <si>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</si>
  <si>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</si>
  <si>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</si>
  <si>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</si>
  <si>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</si>
  <si>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</si>
  <si>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</si>
  <si>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</si>
  <si>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</si>
  <si>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</si>
  <si>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</si>
  <si>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</si>
  <si>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</si>
  <si>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</si>
  <si>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</si>
  <si>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</si>
  <si>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</si>
  <si>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</si>
  <si>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</si>
  <si>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</si>
  <si>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</si>
  <si>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</si>
  <si>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</si>
  <si>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</si>
  <si>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</si>
  <si>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</si>
  <si>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</si>
  <si>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</si>
  <si>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</si>
  <si>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</si>
  <si>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</si>
  <si>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</si>
  <si>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</si>
  <si>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</si>
  <si>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</si>
  <si>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</si>
  <si>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</si>
  <si>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</si>
  <si>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</si>
  <si>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</si>
  <si>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</si>
  <si>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</si>
  <si>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</si>
  <si>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</si>
  <si>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</si>
  <si>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</si>
  <si>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</si>
  <si>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</si>
  <si>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</si>
  <si>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</si>
  <si>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</si>
  <si>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</si>
  <si>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</si>
  <si>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</si>
  <si>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</si>
  <si>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</si>
  <si>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</si>
  <si>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</si>
  <si>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</si>
  <si>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</si>
  <si>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</si>
  <si>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</si>
  <si>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</si>
  <si>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</si>
  <si>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</si>
  <si>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</si>
  <si>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</si>
  <si>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</si>
  <si>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</si>
  <si>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</si>
  <si>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</si>
  <si>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</si>
  <si>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</si>
  <si>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</si>
  <si>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</si>
  <si>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</si>
  <si>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</si>
  <si>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</si>
  <si>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</si>
  <si>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</si>
  <si>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</si>
  <si>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</si>
  <si>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</si>
  <si>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</si>
  <si>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</si>
  <si>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</si>
  <si>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</si>
  <si>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</si>
  <si>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</si>
  <si>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</si>
  <si>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</si>
  <si>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</si>
  <si>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</si>
  <si>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</si>
  <si>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</si>
  <si>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</si>
  <si>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</si>
  <si>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</si>
  <si>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</si>
  <si>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</si>
  <si>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</si>
  <si>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</si>
  <si>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</si>
  <si>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</si>
  <si>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</si>
  <si>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</si>
  <si>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</si>
  <si>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</si>
  <si>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</si>
  <si>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</si>
  <si>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</si>
  <si>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</si>
  <si>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</si>
  <si>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</si>
  <si>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</si>
  <si>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</si>
  <si>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</si>
  <si>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</si>
  <si>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</si>
  <si>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</si>
  <si>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</si>
  <si>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</si>
  <si>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</si>
  <si>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</si>
  <si>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</si>
  <si>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</si>
  <si>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</si>
  <si>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</si>
  <si>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</si>
  <si>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</si>
  <si>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</si>
  <si>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</si>
  <si>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</si>
  <si>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</si>
  <si>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</si>
  <si>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</si>
  <si>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</si>
  <si>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</si>
  <si>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</si>
  <si>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</si>
  <si>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</si>
  <si>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</si>
  <si>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</si>
  <si>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</si>
  <si>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</si>
  <si>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</si>
  <si>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</si>
  <si>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</si>
  <si>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</si>
  <si>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</si>
  <si>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</si>
  <si>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</si>
  <si>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</si>
  <si>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</si>
  <si>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</si>
  <si>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</si>
  <si>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</si>
  <si>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</si>
  <si>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</si>
  <si>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</si>
  <si>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</si>
  <si>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</si>
  <si>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</si>
  <si>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</si>
  <si>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</si>
  <si>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</si>
  <si>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</si>
  <si>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</si>
  <si>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</si>
  <si>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</si>
  <si>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</si>
  <si>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</si>
  <si>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</si>
  <si>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</si>
  <si>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</si>
  <si>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</si>
  <si>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</si>
  <si>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</si>
  <si>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</si>
  <si>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</si>
  <si>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</si>
  <si>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</si>
  <si>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</si>
  <si>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</si>
  <si>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</si>
  <si>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</si>
  <si>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</si>
  <si>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</si>
  <si>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</si>
  <si>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</si>
  <si>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</si>
  <si>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</si>
  <si>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</si>
  <si>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</si>
  <si>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</si>
  <si>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</si>
  <si>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</si>
  <si>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</si>
  <si>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</si>
  <si>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</si>
  <si>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</si>
  <si>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</si>
  <si>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</si>
  <si>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</si>
  <si>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</si>
  <si>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</si>
  <si>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</si>
  <si>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</si>
  <si>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</si>
  <si>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</si>
  <si>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</si>
  <si>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</si>
  <si>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</si>
  <si>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</si>
  <si>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</si>
  <si>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</si>
  <si>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</si>
  <si>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</si>
  <si>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</si>
  <si>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</si>
  <si>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</si>
  <si>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</si>
  <si>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</si>
  <si>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</si>
  <si>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</si>
  <si>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</si>
  <si>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</si>
  <si>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</si>
  <si>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</si>
  <si>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</si>
  <si>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</si>
  <si>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</si>
  <si>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</si>
  <si>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</si>
  <si>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</si>
  <si>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</si>
  <si>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</si>
  <si>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</si>
  <si>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</si>
  <si>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</si>
  <si>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</si>
  <si>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</si>
  <si>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</si>
  <si>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</si>
  <si>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</si>
  <si>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</si>
  <si>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</si>
  <si>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</si>
  <si>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</si>
  <si>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</si>
  <si>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</si>
  <si>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</si>
  <si>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</si>
  <si>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</si>
  <si>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</si>
  <si>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</si>
  <si>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</si>
  <si>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</si>
  <si>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</si>
  <si>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</si>
  <si>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</si>
  <si>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</si>
  <si>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</si>
  <si>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</si>
  <si>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</si>
  <si>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</si>
  <si>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</si>
  <si>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</si>
  <si>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</si>
  <si>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</si>
  <si>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</si>
  <si>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</si>
  <si>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</si>
  <si>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</si>
  <si>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</si>
  <si>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</si>
  <si>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</si>
  <si>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</si>
  <si>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</si>
  <si>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</si>
  <si>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</si>
  <si>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</si>
  <si>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</si>
  <si>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</si>
  <si>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</si>
  <si>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</si>
  <si>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</si>
  <si>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</si>
  <si>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</si>
  <si>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</si>
  <si>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</si>
  <si>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</si>
  <si>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</si>
  <si>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</si>
  <si>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</si>
  <si>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</si>
  <si>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</si>
  <si>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</si>
  <si>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</si>
  <si>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</si>
  <si>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</si>
  <si>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</si>
  <si>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</si>
  <si>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</si>
  <si>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</si>
  <si>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</si>
  <si>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</si>
  <si>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</si>
  <si>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</si>
  <si>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</si>
  <si>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</si>
  <si>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</si>
  <si>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</si>
  <si>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</si>
  <si>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</si>
  <si>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</si>
  <si>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</si>
  <si>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</si>
  <si>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</si>
  <si>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</si>
  <si>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</si>
  <si>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</si>
  <si>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</si>
  <si>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</si>
  <si>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</si>
  <si>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</si>
  <si>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</si>
  <si>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</si>
  <si>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</si>
  <si>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</si>
  <si>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</si>
  <si>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</si>
  <si>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</si>
  <si>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</si>
  <si>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</si>
  <si>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</si>
  <si>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</si>
  <si>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</si>
  <si>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</si>
  <si>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</si>
  <si>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</si>
  <si>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</si>
  <si>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</si>
  <si>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</si>
  <si>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</si>
  <si>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</si>
  <si>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</si>
  <si>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</si>
  <si>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</si>
  <si>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</si>
  <si>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</si>
  <si>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</si>
  <si>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</si>
  <si>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</si>
  <si>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</si>
  <si>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</si>
  <si>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</si>
  <si>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</si>
  <si>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</si>
  <si>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</si>
  <si>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</si>
  <si>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</si>
  <si>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</si>
  <si>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</si>
  <si>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</si>
  <si>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</si>
  <si>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</si>
  <si>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</si>
  <si>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</si>
  <si>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</si>
  <si>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</si>
  <si>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</si>
  <si>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</si>
  <si>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</si>
  <si>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</si>
  <si>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</si>
  <si>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</si>
  <si>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</si>
  <si>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</si>
  <si>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</si>
  <si>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</si>
  <si>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</si>
  <si>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</si>
  <si>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</si>
  <si>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</si>
  <si>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</si>
  <si>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</si>
  <si>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</si>
  <si>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</si>
  <si>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</si>
  <si>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</si>
  <si>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</si>
  <si>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</si>
  <si>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</si>
  <si>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</si>
  <si>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</si>
  <si>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</si>
  <si>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</si>
  <si>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</si>
  <si>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</si>
  <si>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</si>
  <si>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</si>
  <si>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</si>
  <si>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</si>
  <si>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</si>
  <si>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</si>
  <si>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</si>
  <si>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</si>
  <si>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</si>
  <si>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</si>
  <si>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</si>
  <si>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</si>
  <si>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</si>
  <si>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</si>
  <si>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</si>
  <si>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</si>
  <si>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</si>
  <si>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</si>
  <si>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</si>
  <si>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</si>
  <si>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</si>
  <si>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</si>
  <si>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</si>
  <si>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</si>
  <si>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</si>
  <si>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</si>
  <si>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</si>
  <si>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</si>
  <si>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</si>
  <si>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</si>
  <si>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</si>
  <si>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</si>
  <si>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</si>
  <si>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</si>
  <si>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</si>
  <si>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</si>
  <si>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</si>
  <si>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</si>
  <si>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</si>
  <si>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</si>
  <si>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</si>
  <si>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</si>
  <si>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</si>
  <si>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</si>
  <si>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</si>
  <si>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</si>
  <si>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</si>
  <si>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</si>
  <si>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</si>
  <si>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</si>
  <si>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</si>
  <si>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</si>
  <si>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</si>
  <si>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</si>
  <si>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</si>
  <si>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</si>
  <si>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</si>
  <si>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</si>
  <si>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</si>
  <si>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</si>
  <si>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</si>
  <si>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</si>
  <si>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</si>
  <si>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</si>
  <si>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</si>
  <si>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</si>
  <si>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</si>
  <si>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</si>
  <si>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</si>
  <si>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</si>
  <si>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</si>
  <si>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</si>
  <si>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</si>
  <si>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</si>
  <si>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</si>
  <si>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</si>
  <si>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</si>
  <si>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</si>
  <si>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</si>
  <si>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</si>
  <si>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</si>
  <si>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</si>
  <si>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</si>
  <si>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</si>
  <si>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</si>
  <si>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</si>
  <si>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</si>
  <si>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</si>
  <si>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</si>
  <si>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</si>
  <si>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</si>
  <si>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</si>
  <si>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</si>
  <si>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</si>
  <si>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</si>
  <si>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</si>
  <si>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</si>
  <si>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</si>
  <si>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</si>
  <si>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</si>
  <si>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</si>
  <si>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</si>
  <si>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</si>
  <si>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</si>
  <si>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</si>
  <si>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</si>
  <si>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</si>
  <si>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</si>
  <si>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</si>
  <si>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</si>
  <si>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</si>
  <si>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</si>
  <si>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</si>
  <si>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</si>
  <si>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</si>
  <si>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</si>
  <si>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</si>
  <si>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</si>
  <si>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</si>
  <si>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</si>
  <si>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</si>
  <si>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</si>
  <si>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</si>
  <si>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</si>
  <si>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</si>
  <si>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</si>
  <si>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</si>
  <si>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</si>
  <si>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</si>
  <si>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</si>
  <si>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</si>
  <si>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</si>
  <si>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</si>
  <si>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</si>
  <si>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</si>
  <si>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</si>
  <si>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</si>
  <si>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</si>
  <si>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</si>
  <si>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</si>
  <si>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</si>
  <si>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</si>
  <si>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</si>
  <si>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</si>
  <si>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</si>
  <si>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</si>
  <si>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</si>
  <si>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</si>
  <si>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</si>
  <si>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</si>
  <si>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</si>
  <si>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</si>
  <si>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</si>
  <si>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</si>
  <si>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</si>
  <si>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</si>
  <si>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</si>
  <si>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</si>
  <si>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</si>
  <si>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</si>
  <si>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</si>
  <si>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</si>
  <si>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</si>
  <si>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</si>
  <si>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</si>
  <si>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</si>
  <si>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</si>
  <si>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</si>
  <si>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</si>
  <si>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</si>
  <si>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</si>
  <si>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</si>
  <si>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</si>
  <si>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</si>
  <si>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</si>
  <si>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</si>
  <si>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</si>
  <si>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</si>
  <si>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</si>
  <si>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</si>
  <si>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</si>
  <si>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</si>
  <si>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</si>
  <si>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</si>
  <si>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</si>
  <si>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</si>
  <si>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</si>
  <si>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</si>
  <si>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</si>
  <si>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</si>
  <si>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</si>
  <si>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</si>
  <si>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</si>
  <si>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</si>
  <si>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</si>
  <si>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</si>
  <si>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</si>
  <si>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</si>
  <si>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</si>
  <si>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</si>
  <si>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</si>
  <si>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</si>
  <si>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</si>
  <si>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</si>
  <si>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</si>
  <si>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</si>
  <si>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</si>
  <si>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</si>
  <si>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</si>
  <si>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</si>
  <si>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</si>
  <si>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</si>
  <si>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</si>
  <si>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</si>
  <si>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</si>
  <si>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</si>
  <si>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</si>
  <si>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</si>
  <si>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</si>
  <si>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</si>
  <si>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</si>
  <si>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</si>
  <si>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</si>
  <si>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</si>
  <si>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</si>
  <si>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</si>
  <si>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</si>
  <si>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</si>
  <si>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</si>
  <si>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</si>
  <si>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</si>
  <si>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</si>
  <si>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</si>
  <si>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</si>
  <si>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</si>
  <si>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</si>
  <si>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</si>
  <si>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</si>
  <si>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</si>
  <si>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</si>
  <si>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</si>
  <si>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</si>
  <si>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</si>
  <si>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</si>
  <si>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</si>
  <si>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</si>
  <si>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</si>
  <si>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</si>
  <si>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</si>
  <si>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</si>
  <si>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</si>
  <si>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</si>
  <si>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</si>
  <si>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</si>
  <si>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</si>
  <si>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</si>
  <si>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</si>
  <si>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</si>
  <si>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</si>
  <si>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</si>
  <si>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</si>
  <si>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</si>
  <si>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</si>
  <si>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</si>
  <si>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</si>
  <si>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</si>
  <si>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</si>
  <si>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</si>
  <si>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</si>
  <si>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</si>
  <si>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</si>
  <si>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</si>
  <si>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</si>
  <si>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</si>
  <si>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</si>
  <si>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</si>
  <si>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</si>
  <si>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</si>
  <si>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</si>
  <si>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</si>
  <si>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</si>
  <si>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</si>
  <si>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</si>
  <si>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</si>
  <si>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</si>
  <si>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</si>
  <si>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</si>
  <si>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</si>
  <si>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</si>
  <si>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</si>
  <si>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</si>
  <si>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</si>
  <si>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</si>
  <si>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</si>
  <si>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</si>
  <si>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</si>
  <si>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</si>
  <si>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</si>
  <si>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</si>
  <si>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</si>
  <si>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</si>
  <si>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</si>
  <si>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</si>
  <si>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</si>
  <si>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</si>
  <si>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</si>
  <si>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</si>
  <si>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</si>
  <si>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</si>
  <si>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</si>
  <si>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</si>
  <si>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</si>
  <si>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</si>
  <si>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</si>
  <si>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</si>
  <si>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</si>
  <si>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</si>
  <si>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</si>
  <si>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</si>
  <si>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</si>
  <si>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</si>
  <si>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</si>
  <si>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</si>
  <si>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</si>
  <si>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</si>
  <si>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</si>
  <si>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</si>
  <si>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</si>
  <si>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</si>
  <si>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</si>
  <si>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</si>
  <si>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</si>
  <si>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</si>
  <si>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</si>
  <si>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</si>
  <si>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</si>
  <si>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</si>
  <si>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</si>
  <si>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</si>
  <si>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</si>
  <si>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</si>
  <si>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</si>
  <si>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</si>
  <si>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</si>
  <si>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</si>
  <si>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</si>
  <si>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</si>
  <si>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</si>
  <si>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</si>
  <si>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</si>
  <si>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</si>
  <si>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</si>
  <si>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</si>
  <si>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</si>
  <si>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</si>
  <si>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</si>
  <si>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</si>
  <si>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</si>
  <si>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</si>
  <si>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</si>
  <si>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</si>
  <si>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</si>
  <si>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</si>
  <si>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</si>
  <si>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</si>
  <si>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</si>
  <si>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</si>
  <si>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</si>
  <si>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</si>
  <si>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</si>
  <si>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</si>
  <si>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</si>
  <si>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</si>
  <si>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</si>
  <si>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</si>
  <si>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</si>
  <si>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</si>
  <si>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</si>
  <si>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</si>
  <si>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</si>
  <si>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</si>
  <si>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</si>
  <si>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</si>
  <si>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</si>
  <si>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</si>
  <si>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</si>
  <si>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</si>
  <si>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</si>
  <si>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</si>
  <si>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</si>
  <si>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</si>
  <si>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</si>
  <si>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</si>
  <si>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</si>
  <si>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</si>
  <si>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</si>
  <si>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</si>
  <si>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</si>
  <si>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</si>
  <si>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</si>
  <si>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</si>
  <si>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</si>
  <si>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</si>
  <si>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</si>
  <si>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</si>
  <si>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</si>
  <si>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</si>
  <si>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</si>
  <si>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</si>
  <si>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</si>
  <si>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</si>
  <si>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</si>
  <si>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</si>
  <si>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</si>
  <si>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</si>
  <si>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</si>
  <si>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</si>
  <si>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</si>
  <si>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</si>
  <si>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</si>
  <si>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</si>
  <si>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</si>
  <si>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</si>
  <si>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</si>
  <si>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</si>
  <si>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</si>
  <si>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</si>
  <si>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</si>
  <si>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</si>
  <si>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</si>
  <si>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</si>
  <si>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</si>
  <si>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</si>
  <si>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</si>
  <si>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</si>
  <si>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</si>
  <si>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</si>
  <si>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</si>
  <si>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</si>
  <si>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</si>
  <si>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</si>
  <si>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</si>
  <si>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</si>
  <si>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</si>
  <si>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</si>
  <si>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</si>
  <si>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</si>
  <si>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</si>
  <si>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</si>
  <si>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</si>
  <si>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</si>
  <si>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</si>
  <si>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</si>
  <si>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</si>
  <si>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</si>
  <si>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</si>
  <si>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</si>
  <si>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</si>
  <si>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</si>
  <si>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</si>
  <si>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</si>
  <si>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</si>
  <si>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</si>
  <si>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</si>
  <si>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</si>
  <si>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</si>
  <si>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</si>
  <si>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</si>
  <si>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</si>
  <si>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</si>
  <si>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</si>
  <si>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</si>
  <si>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</si>
  <si>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</si>
  <si>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</si>
  <si>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</si>
  <si>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</si>
  <si>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</si>
  <si>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</si>
  <si>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</si>
  <si>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</si>
  <si>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</si>
  <si>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</si>
  <si>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</si>
  <si>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</si>
  <si>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</si>
  <si>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</si>
  <si>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</si>
  <si>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</si>
  <si>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</si>
  <si>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</si>
  <si>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Investments lower than intially budgeted, hence interest is lower</t>
  </si>
  <si>
    <t>To be adjusted downwards during the adjustment budget</t>
  </si>
  <si>
    <t>Rental lower than intially budgeted, hence interest is lower</t>
  </si>
  <si>
    <t>The variance is due to the decision of the DPP withdrawing the municipality's permission to issue traffic fines</t>
  </si>
  <si>
    <t>The municipality is still negotiating with the DPP</t>
  </si>
  <si>
    <t xml:space="preserve">Municipality has no control </t>
  </si>
  <si>
    <t>No entries for Debt Impairment have been processed. This is done at year end.</t>
  </si>
  <si>
    <t>This is a year end entry</t>
  </si>
  <si>
    <t>Bulk Purchases is largely influenced by seasonal changes. The variance will self correct during the year</t>
  </si>
  <si>
    <t>No remedial action is required</t>
  </si>
  <si>
    <t>Materail purchases are done in bulk and then gets charged to departments as and when they need it.</t>
  </si>
  <si>
    <t>This will self correct during the year</t>
  </si>
  <si>
    <t>The increase is long outstanding debtors resulted in the variance</t>
  </si>
  <si>
    <t>No remedial action required</t>
  </si>
  <si>
    <t>no entries for Depreciation have been processed. This is done at year end.</t>
  </si>
  <si>
    <t>Various reasons have been put forward, capex meetings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</si>
</sst>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1">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2" fontId="6" fillId="0" borderId="22" xfId="0" applyNumberFormat="1" applyFont="1" applyBorder="1"/>
    <xf numFmtId="172" fontId="6" fillId="0" borderId="23" xfId="0" applyNumberFormat="1" applyFont="1" applyBorder="1"/>
    <xf numFmtId="0" fontId="6" fillId="0" borderId="17" xfId="0" applyFont="1" applyBorder="1"/>
    <xf numFmtId="172"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70" fontId="6" fillId="0" borderId="10" xfId="0" applyNumberFormat="1" applyFont="1" applyBorder="1"/>
    <xf numFmtId="0" fontId="7" fillId="0" borderId="11" xfId="0" applyFont="1" applyBorder="1" applyAlignment="1">
      <alignment horizontal="left"/>
    </xf>
    <xf numFmtId="0" fontId="6" fillId="0" borderId="11" xfId="0" applyFont="1" applyBorder="1"/>
    <xf numFmtId="173" fontId="6" fillId="0" borderId="0" xfId="0" applyNumberFormat="1" applyFont="1" applyBorder="1"/>
    <xf numFmtId="173" fontId="6" fillId="0" borderId="22" xfId="0" applyNumberFormat="1" applyFont="1" applyBorder="1"/>
    <xf numFmtId="173" fontId="6" fillId="0" borderId="13" xfId="0" applyNumberFormat="1" applyFont="1" applyBorder="1"/>
    <xf numFmtId="173" fontId="6" fillId="0" borderId="26" xfId="0" applyNumberFormat="1" applyFont="1" applyBorder="1"/>
    <xf numFmtId="173" fontId="6" fillId="0" borderId="22" xfId="0" applyNumberFormat="1" applyFont="1" applyFill="1" applyBorder="1"/>
    <xf numFmtId="170" fontId="6" fillId="0" borderId="13" xfId="0" applyNumberFormat="1" applyFont="1" applyFill="1" applyBorder="1"/>
    <xf numFmtId="173" fontId="7" fillId="0" borderId="0" xfId="0" applyNumberFormat="1" applyFont="1" applyBorder="1"/>
    <xf numFmtId="173" fontId="7" fillId="0" borderId="22" xfId="0" applyNumberFormat="1" applyFont="1" applyBorder="1"/>
    <xf numFmtId="173" fontId="7" fillId="0" borderId="26" xfId="0" applyNumberFormat="1" applyFont="1" applyBorder="1"/>
    <xf numFmtId="170" fontId="7" fillId="0" borderId="10" xfId="0" applyNumberFormat="1" applyFont="1" applyBorder="1"/>
    <xf numFmtId="0" fontId="7" fillId="0" borderId="27" xfId="0" applyFont="1" applyBorder="1"/>
    <xf numFmtId="173" fontId="7" fillId="0" borderId="28" xfId="0" applyNumberFormat="1" applyFont="1" applyBorder="1"/>
    <xf numFmtId="173" fontId="7" fillId="0" borderId="29" xfId="0" applyNumberFormat="1" applyFont="1" applyBorder="1"/>
    <xf numFmtId="173" fontId="7" fillId="0" borderId="30" xfId="0" applyNumberFormat="1" applyFont="1" applyBorder="1"/>
    <xf numFmtId="0" fontId="11" fillId="0" borderId="0" xfId="0" applyFont="1" applyBorder="1"/>
    <xf numFmtId="0" fontId="6" fillId="0" borderId="0" xfId="0" applyFont="1" applyBorder="1" applyAlignment="1">
      <alignment horizontal="center"/>
    </xf>
    <xf numFmtId="170" fontId="7" fillId="0" borderId="0" xfId="0" applyNumberFormat="1" applyFont="1" applyFill="1" applyBorder="1"/>
    <xf numFmtId="0" fontId="10" fillId="0" borderId="0" xfId="0" quotePrefix="1" applyFont="1" applyBorder="1"/>
    <xf numFmtId="0" fontId="7" fillId="0" borderId="0" xfId="0" applyFont="1" applyBorder="1"/>
    <xf numFmtId="170"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6" fontId="6" fillId="0" borderId="0" xfId="28" applyNumberFormat="1" applyFont="1"/>
    <xf numFmtId="0" fontId="6" fillId="0" borderId="0" xfId="0" applyFont="1" applyBorder="1"/>
    <xf numFmtId="0" fontId="6" fillId="0" borderId="0" xfId="0" applyFont="1" applyAlignment="1">
      <alignment horizontal="center"/>
    </xf>
    <xf numFmtId="166" fontId="6" fillId="0" borderId="0" xfId="28" applyNumberFormat="1" applyFont="1" applyAlignment="1">
      <alignment horizontal="center"/>
    </xf>
    <xf numFmtId="169" fontId="6" fillId="0" borderId="0" xfId="42" applyNumberFormat="1" applyFont="1" applyAlignment="1">
      <alignment horizontal="center"/>
    </xf>
    <xf numFmtId="166" fontId="6" fillId="0" borderId="0" xfId="0" applyNumberFormat="1" applyFont="1"/>
    <xf numFmtId="169" fontId="6" fillId="0" borderId="0" xfId="0" applyNumberFormat="1" applyFont="1"/>
    <xf numFmtId="173" fontId="7" fillId="0" borderId="31" xfId="0" applyNumberFormat="1" applyFont="1" applyBorder="1"/>
    <xf numFmtId="173" fontId="7" fillId="0" borderId="32" xfId="0" applyNumberFormat="1" applyFont="1" applyBorder="1"/>
    <xf numFmtId="169" fontId="6" fillId="0" borderId="0" xfId="0" applyNumberFormat="1" applyFont="1" applyAlignment="1">
      <alignment horizontal="center"/>
    </xf>
    <xf numFmtId="173" fontId="7" fillId="0" borderId="24" xfId="0" applyNumberFormat="1" applyFont="1" applyBorder="1"/>
    <xf numFmtId="173" fontId="7" fillId="0" borderId="33" xfId="0" applyNumberFormat="1" applyFont="1" applyBorder="1"/>
    <xf numFmtId="0" fontId="11" fillId="0" borderId="0" xfId="0" applyFont="1" applyBorder="1" applyAlignment="1">
      <alignment horizontal="left"/>
    </xf>
    <xf numFmtId="170"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3" fontId="7" fillId="0" borderId="34" xfId="0" applyNumberFormat="1" applyFont="1" applyBorder="1"/>
    <xf numFmtId="170" fontId="6" fillId="0" borderId="0" xfId="0" applyNumberFormat="1" applyFont="1" applyBorder="1"/>
    <xf numFmtId="170"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8" fontId="7" fillId="0" borderId="0" xfId="0" applyNumberFormat="1" applyFont="1" applyBorder="1"/>
    <xf numFmtId="0" fontId="6" fillId="0" borderId="16" xfId="0" applyFont="1" applyBorder="1"/>
    <xf numFmtId="0" fontId="7" fillId="0" borderId="35" xfId="0" applyFont="1" applyBorder="1"/>
    <xf numFmtId="165" fontId="6" fillId="0" borderId="0" xfId="28" applyFont="1" applyBorder="1"/>
    <xf numFmtId="0" fontId="7" fillId="0" borderId="16" xfId="0" applyFont="1" applyBorder="1"/>
    <xf numFmtId="0" fontId="11" fillId="0" borderId="0" xfId="0" applyFont="1"/>
    <xf numFmtId="0" fontId="6" fillId="0" borderId="0" xfId="0" applyFont="1" applyFill="1" applyBorder="1"/>
    <xf numFmtId="170" fontId="6" fillId="0" borderId="0" xfId="0" applyNumberFormat="1" applyFont="1" applyFill="1" applyBorder="1"/>
    <xf numFmtId="9" fontId="6" fillId="0" borderId="0" xfId="42" applyFont="1"/>
    <xf numFmtId="173" fontId="6" fillId="0" borderId="36" xfId="0" applyNumberFormat="1" applyFont="1" applyBorder="1"/>
    <xf numFmtId="0" fontId="6" fillId="0" borderId="0" xfId="0" applyFont="1" applyFill="1"/>
    <xf numFmtId="173" fontId="6" fillId="0" borderId="36" xfId="0" applyNumberFormat="1" applyFont="1" applyFill="1" applyBorder="1"/>
    <xf numFmtId="173" fontId="7" fillId="0" borderId="22" xfId="0" applyNumberFormat="1" applyFont="1" applyFill="1" applyBorder="1"/>
    <xf numFmtId="170" fontId="6" fillId="0" borderId="22" xfId="0" applyNumberFormat="1" applyFont="1" applyBorder="1"/>
    <xf numFmtId="170"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3" fontId="6" fillId="0" borderId="37" xfId="0" applyNumberFormat="1" applyFont="1" applyBorder="1"/>
    <xf numFmtId="173" fontId="7" fillId="0" borderId="10" xfId="0" applyNumberFormat="1" applyFont="1" applyBorder="1"/>
    <xf numFmtId="173" fontId="7" fillId="0" borderId="37" xfId="0" applyNumberFormat="1" applyFont="1" applyBorder="1"/>
    <xf numFmtId="0" fontId="6" fillId="0" borderId="11" xfId="0" applyFont="1" applyBorder="1" applyAlignment="1">
      <alignment horizontal="left" wrapText="1" indent="1"/>
    </xf>
    <xf numFmtId="173"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3" fontId="6" fillId="0" borderId="24" xfId="0" applyNumberFormat="1" applyFont="1" applyBorder="1"/>
    <xf numFmtId="173" fontId="6" fillId="0" borderId="33" xfId="0" applyNumberFormat="1" applyFont="1" applyBorder="1"/>
    <xf numFmtId="170" fontId="6" fillId="0" borderId="0" xfId="28" applyNumberFormat="1" applyFont="1" applyBorder="1"/>
    <xf numFmtId="166" fontId="6" fillId="0" borderId="0" xfId="28" applyNumberFormat="1" applyFont="1" applyBorder="1"/>
    <xf numFmtId="0" fontId="6" fillId="0" borderId="19" xfId="0" applyFont="1" applyBorder="1" applyAlignment="1">
      <alignment horizontal="center"/>
    </xf>
    <xf numFmtId="169"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9" fontId="6" fillId="0" borderId="22" xfId="42" applyNumberFormat="1" applyFont="1" applyFill="1" applyBorder="1" applyAlignment="1">
      <alignment horizontal="center" vertical="top" wrapText="1"/>
    </xf>
    <xf numFmtId="169"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3" fontId="6" fillId="0" borderId="10" xfId="0" applyNumberFormat="1" applyFont="1" applyBorder="1"/>
    <xf numFmtId="166"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3" fontId="6" fillId="0" borderId="46" xfId="0" applyNumberFormat="1" applyFont="1" applyBorder="1"/>
    <xf numFmtId="173"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1"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3" fontId="6" fillId="0" borderId="38" xfId="0" applyNumberFormat="1" applyFont="1" applyBorder="1"/>
    <xf numFmtId="173"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70"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70"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3"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3" fontId="7" fillId="0" borderId="46" xfId="0" applyNumberFormat="1" applyFont="1" applyBorder="1"/>
    <xf numFmtId="173" fontId="6" fillId="0" borderId="51" xfId="0" applyNumberFormat="1" applyFont="1" applyBorder="1"/>
    <xf numFmtId="172" fontId="6" fillId="0" borderId="26" xfId="0" applyNumberFormat="1" applyFont="1" applyBorder="1"/>
    <xf numFmtId="172" fontId="6" fillId="0" borderId="10" xfId="0" applyNumberFormat="1" applyFont="1" applyBorder="1"/>
    <xf numFmtId="171"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2" fontId="6" fillId="0" borderId="46" xfId="0" applyNumberFormat="1" applyFont="1" applyBorder="1"/>
    <xf numFmtId="171" fontId="6" fillId="0" borderId="33" xfId="0" applyNumberFormat="1" applyFont="1" applyFill="1" applyBorder="1"/>
    <xf numFmtId="171" fontId="6" fillId="0" borderId="24" xfId="0" applyNumberFormat="1" applyFont="1" applyFill="1" applyBorder="1"/>
    <xf numFmtId="171" fontId="6" fillId="0" borderId="50" xfId="0" applyNumberFormat="1" applyFont="1" applyFill="1" applyBorder="1"/>
    <xf numFmtId="9" fontId="7" fillId="0" borderId="43" xfId="42" applyFont="1" applyFill="1" applyBorder="1" applyAlignment="1">
      <alignment horizontal="center" vertical="center" wrapText="1"/>
    </xf>
    <xf numFmtId="174" fontId="7" fillId="0" borderId="22" xfId="42" applyNumberFormat="1" applyFont="1" applyBorder="1"/>
    <xf numFmtId="174" fontId="6" fillId="0" borderId="22" xfId="42" applyNumberFormat="1" applyFont="1" applyBorder="1"/>
    <xf numFmtId="174" fontId="6" fillId="0" borderId="36" xfId="42" applyNumberFormat="1" applyFont="1" applyBorder="1"/>
    <xf numFmtId="172" fontId="6" fillId="0" borderId="19" xfId="0" applyNumberFormat="1" applyFont="1" applyBorder="1"/>
    <xf numFmtId="172" fontId="6" fillId="0" borderId="33" xfId="0" applyNumberFormat="1" applyFont="1" applyBorder="1"/>
    <xf numFmtId="174" fontId="6" fillId="0" borderId="24" xfId="42" applyNumberFormat="1" applyFont="1" applyBorder="1"/>
    <xf numFmtId="172" fontId="6" fillId="0" borderId="50" xfId="0" applyNumberFormat="1" applyFont="1" applyBorder="1"/>
    <xf numFmtId="172" fontId="6" fillId="0" borderId="39" xfId="0" applyNumberFormat="1" applyFont="1" applyBorder="1"/>
    <xf numFmtId="172" fontId="6" fillId="0" borderId="25" xfId="0" applyNumberFormat="1" applyFont="1" applyBorder="1"/>
    <xf numFmtId="174" fontId="6" fillId="0" borderId="23" xfId="42" applyNumberFormat="1" applyFont="1" applyBorder="1"/>
    <xf numFmtId="172" fontId="6" fillId="0" borderId="53" xfId="0" applyNumberFormat="1" applyFont="1" applyBorder="1"/>
    <xf numFmtId="172" fontId="6" fillId="25" borderId="22" xfId="0" applyNumberFormat="1" applyFont="1" applyFill="1" applyBorder="1"/>
    <xf numFmtId="172" fontId="6" fillId="25" borderId="24" xfId="0" applyNumberFormat="1" applyFont="1" applyFill="1" applyBorder="1"/>
    <xf numFmtId="174" fontId="6" fillId="25" borderId="22" xfId="42" applyNumberFormat="1" applyFont="1" applyFill="1" applyBorder="1"/>
    <xf numFmtId="174"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3"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3" fontId="7" fillId="0" borderId="50" xfId="0" applyNumberFormat="1" applyFont="1" applyBorder="1"/>
    <xf numFmtId="173"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3" fontId="7" fillId="0" borderId="55" xfId="0" applyNumberFormat="1" applyFont="1" applyBorder="1"/>
    <xf numFmtId="173"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3"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3" fontId="7" fillId="0" borderId="10" xfId="0" applyNumberFormat="1" applyFont="1" applyBorder="1" applyAlignment="1">
      <alignment vertical="top"/>
    </xf>
    <xf numFmtId="173" fontId="7" fillId="0" borderId="26" xfId="0" applyNumberFormat="1" applyFont="1" applyBorder="1" applyAlignment="1">
      <alignment vertical="top"/>
    </xf>
    <xf numFmtId="173" fontId="7" fillId="0" borderId="22" xfId="0" applyNumberFormat="1" applyFont="1" applyBorder="1" applyAlignment="1">
      <alignment vertical="top"/>
    </xf>
    <xf numFmtId="173"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3" fontId="6" fillId="0" borderId="45" xfId="0" applyNumberFormat="1" applyFont="1" applyBorder="1"/>
    <xf numFmtId="173" fontId="7" fillId="0" borderId="45" xfId="0" applyNumberFormat="1" applyFont="1" applyBorder="1"/>
    <xf numFmtId="173" fontId="7" fillId="0" borderId="61" xfId="0" applyNumberFormat="1" applyFont="1" applyBorder="1"/>
    <xf numFmtId="173" fontId="6" fillId="0" borderId="55" xfId="0" applyNumberFormat="1" applyFont="1" applyBorder="1"/>
    <xf numFmtId="173" fontId="6" fillId="0" borderId="61" xfId="0" applyNumberFormat="1" applyFont="1" applyBorder="1"/>
    <xf numFmtId="173" fontId="6" fillId="0" borderId="47" xfId="0" applyNumberFormat="1" applyFont="1" applyBorder="1"/>
    <xf numFmtId="173" fontId="6" fillId="0" borderId="62" xfId="0" applyNumberFormat="1" applyFont="1" applyBorder="1"/>
    <xf numFmtId="173" fontId="7" fillId="0" borderId="58" xfId="0" applyNumberFormat="1" applyFont="1" applyBorder="1"/>
    <xf numFmtId="170" fontId="6" fillId="0" borderId="46" xfId="0" applyNumberFormat="1" applyFont="1" applyBorder="1"/>
    <xf numFmtId="0" fontId="7" fillId="0" borderId="63" xfId="0" applyFont="1" applyBorder="1" applyAlignment="1">
      <alignment horizontal="center"/>
    </xf>
    <xf numFmtId="170"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3" fontId="7" fillId="0" borderId="64" xfId="0" applyNumberFormat="1" applyFont="1" applyBorder="1"/>
    <xf numFmtId="0" fontId="7" fillId="0" borderId="15" xfId="0" applyFont="1" applyBorder="1"/>
    <xf numFmtId="173" fontId="6" fillId="25" borderId="22" xfId="0" applyNumberFormat="1" applyFont="1" applyFill="1" applyBorder="1"/>
    <xf numFmtId="173" fontId="6" fillId="25" borderId="24" xfId="0" applyNumberFormat="1" applyFont="1" applyFill="1" applyBorder="1"/>
    <xf numFmtId="0" fontId="7" fillId="0" borderId="65" xfId="0" applyFont="1" applyFill="1" applyBorder="1" applyAlignment="1">
      <alignment horizontal="centerContinuous" vertical="center" wrapText="1"/>
    </xf>
    <xf numFmtId="169"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9"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1" fontId="6" fillId="0" borderId="0" xfId="0" applyNumberFormat="1" applyFont="1" applyFill="1" applyBorder="1"/>
    <xf numFmtId="174" fontId="6" fillId="0" borderId="0" xfId="42" applyNumberFormat="1" applyFont="1" applyBorder="1"/>
    <xf numFmtId="169"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3" fontId="6" fillId="0" borderId="58" xfId="0" applyNumberFormat="1" applyFont="1" applyBorder="1"/>
    <xf numFmtId="170" fontId="7" fillId="0" borderId="26" xfId="0" applyNumberFormat="1" applyFont="1" applyBorder="1"/>
    <xf numFmtId="170" fontId="7" fillId="0" borderId="22" xfId="0" applyNumberFormat="1" applyFont="1" applyBorder="1"/>
    <xf numFmtId="170" fontId="7" fillId="0" borderId="46" xfId="0" applyNumberFormat="1" applyFont="1" applyBorder="1"/>
    <xf numFmtId="169" fontId="7" fillId="0" borderId="22" xfId="42" applyNumberFormat="1" applyFont="1" applyFill="1" applyBorder="1" applyAlignment="1">
      <alignment horizontal="center" vertical="top" wrapText="1"/>
    </xf>
    <xf numFmtId="169" fontId="7" fillId="0" borderId="31" xfId="42" applyNumberFormat="1" applyFont="1" applyFill="1" applyBorder="1" applyAlignment="1">
      <alignment horizontal="center" vertical="top" wrapText="1"/>
    </xf>
    <xf numFmtId="173" fontId="6" fillId="0" borderId="30" xfId="0" applyNumberFormat="1" applyFont="1" applyBorder="1"/>
    <xf numFmtId="173" fontId="6" fillId="0" borderId="29" xfId="0" applyNumberFormat="1" applyFont="1" applyBorder="1"/>
    <xf numFmtId="169" fontId="6" fillId="0" borderId="29" xfId="42" applyNumberFormat="1" applyFont="1" applyFill="1" applyBorder="1" applyAlignment="1">
      <alignment horizontal="center" vertical="top" wrapText="1"/>
    </xf>
    <xf numFmtId="173"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9"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3" fontId="6" fillId="0" borderId="69" xfId="0" applyNumberFormat="1" applyFont="1" applyBorder="1"/>
    <xf numFmtId="0" fontId="7" fillId="0" borderId="35" xfId="0" applyFont="1" applyFill="1" applyBorder="1"/>
    <xf numFmtId="170" fontId="7" fillId="0" borderId="55" xfId="0" applyNumberFormat="1" applyFont="1" applyBorder="1"/>
    <xf numFmtId="173"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9" fontId="6" fillId="0" borderId="36" xfId="42" applyNumberFormat="1" applyFont="1" applyFill="1" applyBorder="1" applyAlignment="1">
      <alignment horizontal="center" vertical="top" wrapText="1"/>
    </xf>
    <xf numFmtId="170" fontId="6" fillId="0" borderId="0" xfId="28" applyNumberFormat="1" applyFont="1" applyFill="1" applyBorder="1"/>
    <xf numFmtId="0" fontId="7" fillId="0" borderId="67" xfId="0" applyFont="1" applyFill="1" applyBorder="1" applyAlignment="1">
      <alignment horizontal="center" vertical="center" wrapText="1"/>
    </xf>
    <xf numFmtId="173" fontId="7" fillId="25" borderId="22" xfId="0" applyNumberFormat="1" applyFont="1" applyFill="1" applyBorder="1"/>
    <xf numFmtId="173" fontId="6" fillId="25" borderId="36" xfId="0" applyNumberFormat="1" applyFont="1" applyFill="1" applyBorder="1"/>
    <xf numFmtId="173"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3"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70"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9"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3" fontId="6" fillId="0" borderId="14" xfId="0" applyNumberFormat="1" applyFont="1" applyBorder="1"/>
    <xf numFmtId="173"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3" fontId="6" fillId="0" borderId="12" xfId="0" applyNumberFormat="1" applyFont="1" applyBorder="1"/>
    <xf numFmtId="173"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3"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4" fontId="7" fillId="0" borderId="36" xfId="42" applyNumberFormat="1" applyFont="1" applyBorder="1"/>
    <xf numFmtId="173" fontId="6" fillId="28" borderId="26" xfId="0" applyNumberFormat="1" applyFont="1" applyFill="1" applyBorder="1" applyProtection="1">
      <protection locked="0"/>
    </xf>
    <xf numFmtId="173" fontId="6" fillId="28" borderId="22" xfId="0" applyNumberFormat="1" applyFont="1" applyFill="1" applyBorder="1" applyProtection="1">
      <protection locked="0"/>
    </xf>
    <xf numFmtId="173"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9" fontId="6" fillId="0" borderId="10" xfId="42" applyNumberFormat="1" applyFont="1" applyFill="1" applyBorder="1" applyAlignment="1" applyProtection="1">
      <alignment horizontal="center" vertical="top" wrapText="1"/>
    </xf>
    <xf numFmtId="169" fontId="6" fillId="0" borderId="45" xfId="42" applyNumberFormat="1" applyFont="1" applyFill="1" applyBorder="1" applyAlignment="1" applyProtection="1">
      <alignment horizontal="center" vertical="top" wrapText="1"/>
    </xf>
    <xf numFmtId="169" fontId="6" fillId="0" borderId="22" xfId="42" applyNumberFormat="1" applyFont="1" applyFill="1" applyBorder="1" applyAlignment="1" applyProtection="1">
      <alignment horizontal="center" vertical="top" wrapText="1"/>
    </xf>
    <xf numFmtId="169" fontId="6" fillId="0" borderId="46" xfId="42" applyNumberFormat="1" applyFont="1" applyFill="1" applyBorder="1" applyAlignment="1" applyProtection="1">
      <alignment horizontal="center" vertical="top" wrapText="1"/>
    </xf>
    <xf numFmtId="173" fontId="6" fillId="28" borderId="37" xfId="0" applyNumberFormat="1" applyFont="1" applyFill="1" applyBorder="1" applyProtection="1">
      <protection locked="0"/>
    </xf>
    <xf numFmtId="173"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70" fontId="6" fillId="25" borderId="10" xfId="0" applyNumberFormat="1" applyFont="1" applyFill="1" applyBorder="1"/>
    <xf numFmtId="169" fontId="7" fillId="25" borderId="22" xfId="42" applyNumberFormat="1" applyFont="1" applyFill="1" applyBorder="1" applyAlignment="1">
      <alignment horizontal="center" vertical="top" wrapText="1"/>
    </xf>
    <xf numFmtId="170"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3"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3" fontId="6" fillId="0" borderId="22" xfId="0" applyNumberFormat="1" applyFont="1" applyFill="1" applyBorder="1" applyProtection="1"/>
    <xf numFmtId="173" fontId="6" fillId="0" borderId="36" xfId="0" applyNumberFormat="1" applyFont="1" applyFill="1" applyBorder="1" applyProtection="1"/>
    <xf numFmtId="169"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3"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3" fontId="7" fillId="0" borderId="22" xfId="0" applyNumberFormat="1" applyFont="1" applyBorder="1" applyAlignment="1">
      <alignment horizontal="right"/>
    </xf>
    <xf numFmtId="173" fontId="7" fillId="0" borderId="13" xfId="0" applyNumberFormat="1" applyFont="1" applyBorder="1" applyAlignment="1">
      <alignment horizontal="right"/>
    </xf>
    <xf numFmtId="173" fontId="7" fillId="0" borderId="0" xfId="0" applyNumberFormat="1" applyFont="1" applyBorder="1" applyAlignment="1">
      <alignment horizontal="right"/>
    </xf>
    <xf numFmtId="173"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70" fontId="6" fillId="0" borderId="13" xfId="0" applyNumberFormat="1" applyFont="1" applyBorder="1"/>
    <xf numFmtId="0" fontId="7" fillId="0" borderId="11" xfId="0" applyFont="1" applyBorder="1" applyAlignment="1" applyProtection="1">
      <alignment horizontal="left"/>
    </xf>
    <xf numFmtId="173" fontId="7" fillId="0" borderId="43" xfId="0" applyNumberFormat="1" applyFont="1" applyBorder="1" applyAlignment="1" applyProtection="1">
      <alignment horizontal="right"/>
    </xf>
    <xf numFmtId="173" fontId="7" fillId="0" borderId="73" xfId="0" applyNumberFormat="1" applyFont="1" applyBorder="1" applyAlignment="1" applyProtection="1">
      <alignment horizontal="right"/>
    </xf>
    <xf numFmtId="173" fontId="7" fillId="0" borderId="74" xfId="0" applyNumberFormat="1" applyFont="1" applyBorder="1" applyAlignment="1" applyProtection="1">
      <alignment horizontal="right"/>
    </xf>
    <xf numFmtId="173" fontId="7" fillId="0" borderId="52" xfId="0" applyNumberFormat="1" applyFont="1" applyBorder="1" applyAlignment="1" applyProtection="1">
      <alignment horizontal="right"/>
    </xf>
    <xf numFmtId="170" fontId="7" fillId="0" borderId="18" xfId="0" applyNumberFormat="1" applyFont="1" applyBorder="1"/>
    <xf numFmtId="170"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3" fontId="6" fillId="0" borderId="24" xfId="0" applyNumberFormat="1" applyFont="1" applyBorder="1" applyProtection="1"/>
    <xf numFmtId="173" fontId="6" fillId="0" borderId="17" xfId="0" applyNumberFormat="1" applyFont="1" applyBorder="1" applyProtection="1"/>
    <xf numFmtId="173" fontId="6" fillId="0" borderId="14" xfId="0" applyNumberFormat="1" applyFont="1" applyBorder="1" applyProtection="1"/>
    <xf numFmtId="173"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3" fontId="6" fillId="0" borderId="23" xfId="0" applyNumberFormat="1" applyFont="1" applyBorder="1" applyProtection="1"/>
    <xf numFmtId="173" fontId="6" fillId="0" borderId="65" xfId="0" applyNumberFormat="1" applyFont="1" applyBorder="1" applyProtection="1"/>
    <xf numFmtId="173" fontId="6" fillId="0" borderId="12" xfId="0" applyNumberFormat="1" applyFont="1" applyBorder="1" applyProtection="1"/>
    <xf numFmtId="173"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3" fontId="7" fillId="0" borderId="22" xfId="0" applyNumberFormat="1" applyFont="1" applyBorder="1" applyAlignment="1" applyProtection="1">
      <alignment horizontal="right"/>
    </xf>
    <xf numFmtId="173" fontId="7" fillId="0" borderId="13" xfId="0" applyNumberFormat="1" applyFont="1" applyBorder="1" applyAlignment="1" applyProtection="1">
      <alignment horizontal="right"/>
    </xf>
    <xf numFmtId="173" fontId="7" fillId="0" borderId="0" xfId="0" applyNumberFormat="1" applyFont="1" applyBorder="1" applyAlignment="1" applyProtection="1">
      <alignment horizontal="right"/>
    </xf>
    <xf numFmtId="173" fontId="7" fillId="0" borderId="26" xfId="0" applyNumberFormat="1" applyFont="1" applyBorder="1" applyAlignment="1" applyProtection="1">
      <alignment horizontal="right"/>
    </xf>
    <xf numFmtId="173" fontId="6" fillId="28" borderId="0" xfId="0" applyNumberFormat="1" applyFont="1" applyFill="1" applyBorder="1" applyProtection="1">
      <protection locked="0"/>
    </xf>
    <xf numFmtId="170" fontId="6" fillId="0" borderId="10" xfId="0" applyNumberFormat="1" applyFont="1" applyFill="1" applyBorder="1"/>
    <xf numFmtId="173" fontId="7" fillId="0" borderId="74" xfId="0" applyNumberFormat="1" applyFont="1" applyBorder="1"/>
    <xf numFmtId="173" fontId="7" fillId="0" borderId="52" xfId="0" applyNumberFormat="1" applyFont="1" applyBorder="1"/>
    <xf numFmtId="170" fontId="7" fillId="0" borderId="13" xfId="0" applyNumberFormat="1" applyFont="1" applyBorder="1"/>
    <xf numFmtId="0" fontId="6" fillId="0" borderId="29" xfId="0" applyNumberFormat="1" applyFont="1" applyBorder="1" applyAlignment="1" applyProtection="1">
      <alignment horizontal="center"/>
      <protection locked="0"/>
    </xf>
    <xf numFmtId="173" fontId="7" fillId="0" borderId="29" xfId="0" applyNumberFormat="1" applyFont="1" applyFill="1" applyBorder="1"/>
    <xf numFmtId="173" fontId="7" fillId="0" borderId="75" xfId="0" applyNumberFormat="1" applyFont="1" applyBorder="1"/>
    <xf numFmtId="170" fontId="7" fillId="0" borderId="76" xfId="0" applyNumberFormat="1" applyFont="1" applyBorder="1"/>
    <xf numFmtId="170"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70"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70"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6"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3" fontId="7" fillId="0" borderId="37" xfId="0" applyNumberFormat="1" applyFont="1" applyBorder="1" applyAlignment="1">
      <alignment horizontal="right"/>
    </xf>
    <xf numFmtId="173" fontId="7" fillId="0" borderId="78" xfId="0" applyNumberFormat="1" applyFont="1" applyBorder="1" applyAlignment="1" applyProtection="1">
      <alignment horizontal="right"/>
    </xf>
    <xf numFmtId="173" fontId="6" fillId="0" borderId="69" xfId="0" applyNumberFormat="1" applyFont="1" applyBorder="1" applyProtection="1"/>
    <xf numFmtId="173" fontId="6" fillId="0" borderId="79" xfId="0" applyNumberFormat="1" applyFont="1" applyBorder="1" applyProtection="1"/>
    <xf numFmtId="173" fontId="7" fillId="0" borderId="37" xfId="0" applyNumberFormat="1" applyFont="1" applyBorder="1" applyAlignment="1" applyProtection="1">
      <alignment horizontal="right"/>
    </xf>
    <xf numFmtId="173" fontId="7" fillId="0" borderId="78" xfId="0" applyNumberFormat="1" applyFont="1" applyBorder="1"/>
    <xf numFmtId="173" fontId="7" fillId="0" borderId="34" xfId="0" applyNumberFormat="1" applyFont="1" applyFill="1" applyBorder="1"/>
    <xf numFmtId="0" fontId="6" fillId="0" borderId="25" xfId="0" applyFont="1" applyBorder="1"/>
    <xf numFmtId="0" fontId="6" fillId="0" borderId="23" xfId="0" applyFont="1" applyBorder="1"/>
    <xf numFmtId="173" fontId="7" fillId="0" borderId="30" xfId="0" applyNumberFormat="1" applyFont="1" applyFill="1" applyBorder="1"/>
    <xf numFmtId="173" fontId="7" fillId="0" borderId="49" xfId="0" applyNumberFormat="1" applyFont="1" applyBorder="1"/>
    <xf numFmtId="173" fontId="6" fillId="0" borderId="43" xfId="0" applyNumberFormat="1" applyFont="1" applyBorder="1"/>
    <xf numFmtId="9" fontId="6" fillId="0" borderId="43" xfId="42" applyFont="1" applyBorder="1" applyAlignment="1">
      <alignment horizontal="center"/>
    </xf>
    <xf numFmtId="173"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3" fontId="7" fillId="0" borderId="55" xfId="0" applyNumberFormat="1" applyFont="1" applyBorder="1" applyAlignment="1">
      <alignment vertical="top"/>
    </xf>
    <xf numFmtId="173" fontId="7" fillId="0" borderId="32" xfId="0" applyNumberFormat="1" applyFont="1" applyBorder="1" applyAlignment="1">
      <alignment vertical="top"/>
    </xf>
    <xf numFmtId="173" fontId="7" fillId="0" borderId="31" xfId="0" applyNumberFormat="1" applyFont="1" applyBorder="1" applyAlignment="1">
      <alignment vertical="top"/>
    </xf>
    <xf numFmtId="9" fontId="7" fillId="0" borderId="31" xfId="42" applyFont="1" applyBorder="1" applyAlignment="1">
      <alignment horizontal="center" vertical="top"/>
    </xf>
    <xf numFmtId="173" fontId="7" fillId="0" borderId="47" xfId="0" applyNumberFormat="1" applyFont="1" applyBorder="1" applyAlignment="1">
      <alignment vertical="top"/>
    </xf>
    <xf numFmtId="0" fontId="7" fillId="0" borderId="11" xfId="0" applyNumberFormat="1" applyFont="1" applyBorder="1" applyAlignment="1">
      <alignment wrapText="1"/>
    </xf>
    <xf numFmtId="173" fontId="7" fillId="0" borderId="43" xfId="0" applyNumberFormat="1" applyFont="1" applyBorder="1" applyAlignment="1">
      <alignment vertical="top"/>
    </xf>
    <xf numFmtId="173" fontId="7" fillId="0" borderId="49" xfId="0" applyNumberFormat="1" applyFont="1" applyBorder="1" applyAlignment="1">
      <alignment vertical="top"/>
    </xf>
    <xf numFmtId="173" fontId="7" fillId="0" borderId="60" xfId="0" applyNumberFormat="1" applyFont="1" applyBorder="1" applyAlignment="1">
      <alignment vertical="top"/>
    </xf>
    <xf numFmtId="173" fontId="6" fillId="0" borderId="10" xfId="0" applyNumberFormat="1" applyFont="1" applyFill="1" applyBorder="1"/>
    <xf numFmtId="173" fontId="6" fillId="0" borderId="45" xfId="0" applyNumberFormat="1" applyFont="1" applyFill="1" applyBorder="1"/>
    <xf numFmtId="173" fontId="6" fillId="0" borderId="10" xfId="0" applyNumberFormat="1" applyFont="1" applyFill="1" applyBorder="1" applyProtection="1">
      <protection locked="0"/>
    </xf>
    <xf numFmtId="173" fontId="6" fillId="0" borderId="45" xfId="0" applyNumberFormat="1" applyFont="1" applyFill="1" applyBorder="1" applyProtection="1">
      <protection locked="0"/>
    </xf>
    <xf numFmtId="173" fontId="6" fillId="0" borderId="22" xfId="0" applyNumberFormat="1" applyFont="1" applyFill="1" applyBorder="1" applyProtection="1">
      <protection locked="0"/>
    </xf>
    <xf numFmtId="173"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3" fontId="7" fillId="0" borderId="38" xfId="0" applyNumberFormat="1" applyFont="1" applyFill="1" applyBorder="1"/>
    <xf numFmtId="173" fontId="7" fillId="0" borderId="64" xfId="0" applyNumberFormat="1" applyFont="1" applyFill="1" applyBorder="1"/>
    <xf numFmtId="9" fontId="7" fillId="0" borderId="29" xfId="42" applyFont="1" applyFill="1" applyBorder="1" applyAlignment="1">
      <alignment horizontal="center"/>
    </xf>
    <xf numFmtId="173" fontId="7" fillId="0" borderId="56" xfId="0" applyNumberFormat="1" applyFont="1" applyFill="1" applyBorder="1"/>
    <xf numFmtId="173" fontId="7" fillId="0" borderId="60" xfId="0" applyNumberFormat="1" applyFont="1" applyBorder="1"/>
    <xf numFmtId="173"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3" fontId="6" fillId="0" borderId="26" xfId="0" applyNumberFormat="1" applyFont="1" applyFill="1" applyBorder="1" applyProtection="1">
      <protection locked="0"/>
    </xf>
    <xf numFmtId="169" fontId="6" fillId="0" borderId="43" xfId="42" applyNumberFormat="1" applyFont="1" applyFill="1" applyBorder="1" applyAlignment="1">
      <alignment horizontal="center" vertical="top" wrapText="1"/>
    </xf>
    <xf numFmtId="169" fontId="7" fillId="0" borderId="43" xfId="42" applyNumberFormat="1" applyFont="1" applyFill="1" applyBorder="1" applyAlignment="1">
      <alignment horizontal="center" vertical="top" wrapText="1"/>
    </xf>
    <xf numFmtId="0" fontId="6" fillId="0" borderId="59" xfId="0" applyFont="1" applyBorder="1"/>
    <xf numFmtId="173"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70" fontId="6" fillId="0" borderId="38" xfId="0" quotePrefix="1" applyNumberFormat="1" applyFont="1" applyBorder="1" applyAlignment="1">
      <alignment horizontal="center"/>
    </xf>
    <xf numFmtId="170" fontId="6" fillId="0" borderId="30" xfId="0" quotePrefix="1" applyNumberFormat="1" applyFont="1" applyBorder="1" applyAlignment="1">
      <alignment horizontal="center"/>
    </xf>
    <xf numFmtId="170" fontId="6" fillId="0" borderId="29" xfId="0" quotePrefix="1" applyNumberFormat="1" applyFont="1" applyBorder="1" applyAlignment="1">
      <alignment horizontal="center"/>
    </xf>
    <xf numFmtId="170" fontId="6" fillId="0" borderId="29" xfId="0" applyNumberFormat="1" applyFont="1" applyBorder="1" applyAlignment="1">
      <alignment horizontal="center"/>
    </xf>
    <xf numFmtId="170"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3" fontId="6" fillId="0" borderId="67" xfId="0" applyNumberFormat="1" applyFont="1" applyBorder="1"/>
    <xf numFmtId="173" fontId="6" fillId="0" borderId="52" xfId="0" applyNumberFormat="1" applyFont="1" applyBorder="1"/>
    <xf numFmtId="173" fontId="6" fillId="0" borderId="49" xfId="0" applyNumberFormat="1" applyFont="1" applyBorder="1"/>
    <xf numFmtId="0" fontId="10" fillId="0" borderId="11" xfId="0" applyNumberFormat="1" applyFont="1" applyBorder="1" applyAlignment="1">
      <alignment horizontal="left" indent="2"/>
    </xf>
    <xf numFmtId="169" fontId="7" fillId="0" borderId="37" xfId="42" applyNumberFormat="1" applyFont="1" applyFill="1" applyBorder="1" applyAlignment="1">
      <alignment horizontal="center" vertical="top" wrapText="1"/>
    </xf>
    <xf numFmtId="173" fontId="7" fillId="0" borderId="54" xfId="0" applyNumberFormat="1" applyFont="1" applyBorder="1"/>
    <xf numFmtId="173" fontId="7" fillId="0" borderId="62" xfId="0" applyNumberFormat="1" applyFont="1" applyBorder="1"/>
    <xf numFmtId="173" fontId="7" fillId="0" borderId="36" xfId="0" applyNumberFormat="1" applyFont="1" applyBorder="1"/>
    <xf numFmtId="169" fontId="7" fillId="0" borderId="36" xfId="42" applyNumberFormat="1" applyFont="1" applyFill="1" applyBorder="1" applyAlignment="1">
      <alignment horizontal="center" vertical="top" wrapText="1"/>
    </xf>
    <xf numFmtId="173"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5" fontId="2" fillId="0" borderId="11" xfId="0" applyNumberFormat="1" applyFont="1" applyBorder="1" applyAlignment="1">
      <alignment horizontal="left"/>
    </xf>
    <xf numFmtId="174" fontId="6" fillId="0" borderId="45" xfId="42" applyNumberFormat="1" applyFont="1" applyBorder="1"/>
    <xf numFmtId="174" fontId="7" fillId="0" borderId="22" xfId="42" applyNumberFormat="1" applyFont="1" applyBorder="1" applyAlignment="1">
      <alignment vertical="top"/>
    </xf>
    <xf numFmtId="174" fontId="7" fillId="0" borderId="45" xfId="42" applyNumberFormat="1" applyFont="1" applyBorder="1" applyAlignment="1">
      <alignment vertical="top"/>
    </xf>
    <xf numFmtId="174" fontId="7" fillId="0" borderId="43" xfId="42" applyNumberFormat="1" applyFont="1" applyBorder="1"/>
    <xf numFmtId="172" fontId="7" fillId="25" borderId="22" xfId="0" applyNumberFormat="1" applyFont="1" applyFill="1" applyBorder="1"/>
    <xf numFmtId="174" fontId="7" fillId="25" borderId="22" xfId="42" applyNumberFormat="1" applyFont="1" applyFill="1" applyBorder="1"/>
    <xf numFmtId="173" fontId="7" fillId="0" borderId="47" xfId="0" applyNumberFormat="1" applyFont="1" applyFill="1" applyBorder="1"/>
    <xf numFmtId="173" fontId="7" fillId="0" borderId="61" xfId="0" applyNumberFormat="1" applyFont="1" applyFill="1" applyBorder="1"/>
    <xf numFmtId="9" fontId="7" fillId="0" borderId="31" xfId="42" applyFont="1" applyFill="1" applyBorder="1" applyAlignment="1">
      <alignment horizontal="center"/>
    </xf>
    <xf numFmtId="173" fontId="7" fillId="0" borderId="80" xfId="0" applyNumberFormat="1" applyFont="1" applyFill="1" applyBorder="1"/>
    <xf numFmtId="173" fontId="7" fillId="0" borderId="10" xfId="0" applyNumberFormat="1" applyFont="1" applyFill="1" applyBorder="1"/>
    <xf numFmtId="173" fontId="7" fillId="0" borderId="26" xfId="0" applyNumberFormat="1" applyFont="1" applyFill="1" applyBorder="1"/>
    <xf numFmtId="173" fontId="7" fillId="0" borderId="46" xfId="0" applyNumberFormat="1" applyFont="1" applyFill="1" applyBorder="1"/>
    <xf numFmtId="0" fontId="6" fillId="0" borderId="22" xfId="0" applyNumberFormat="1" applyFont="1" applyBorder="1" applyAlignment="1">
      <alignment horizontal="center"/>
    </xf>
    <xf numFmtId="173" fontId="7" fillId="0" borderId="31" xfId="0" applyNumberFormat="1" applyFont="1" applyFill="1" applyBorder="1" applyProtection="1"/>
    <xf numFmtId="173"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3" fontId="6" fillId="0" borderId="43" xfId="0" applyNumberFormat="1" applyFont="1" applyFill="1" applyBorder="1" applyProtection="1"/>
    <xf numFmtId="173" fontId="6" fillId="0" borderId="52" xfId="0" applyNumberFormat="1" applyFont="1" applyFill="1" applyBorder="1" applyProtection="1"/>
    <xf numFmtId="173" fontId="6" fillId="0" borderId="49" xfId="0" applyNumberFormat="1" applyFont="1" applyFill="1" applyBorder="1" applyProtection="1"/>
    <xf numFmtId="173" fontId="7" fillId="0" borderId="43" xfId="0" applyNumberFormat="1" applyFont="1" applyFill="1" applyBorder="1" applyProtection="1"/>
    <xf numFmtId="173" fontId="7" fillId="0" borderId="78" xfId="0" applyNumberFormat="1" applyFont="1" applyFill="1" applyBorder="1" applyProtection="1"/>
    <xf numFmtId="173" fontId="7" fillId="0" borderId="52" xfId="0" applyNumberFormat="1" applyFont="1" applyFill="1" applyBorder="1" applyProtection="1"/>
    <xf numFmtId="173" fontId="7" fillId="0" borderId="49" xfId="0" applyNumberFormat="1" applyFont="1" applyFill="1" applyBorder="1" applyProtection="1"/>
    <xf numFmtId="0" fontId="7" fillId="0" borderId="11" xfId="0" applyNumberFormat="1" applyFont="1" applyBorder="1" applyProtection="1"/>
    <xf numFmtId="173" fontId="7" fillId="0" borderId="43" xfId="0" applyNumberFormat="1" applyFont="1" applyFill="1" applyBorder="1"/>
    <xf numFmtId="173"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70" fontId="8" fillId="0" borderId="0" xfId="0" applyNumberFormat="1" applyFont="1" applyBorder="1" applyProtection="1">
      <protection locked="0"/>
    </xf>
    <xf numFmtId="0" fontId="8" fillId="0" borderId="0" xfId="0" applyFont="1" applyBorder="1" applyProtection="1"/>
    <xf numFmtId="170" fontId="8" fillId="0" borderId="0" xfId="0" applyNumberFormat="1" applyFont="1" applyBorder="1" applyProtection="1"/>
    <xf numFmtId="166" fontId="10" fillId="0" borderId="0" xfId="28" applyNumberFormat="1" applyFont="1" applyBorder="1" applyAlignment="1">
      <alignment horizontal="right"/>
    </xf>
    <xf numFmtId="166" fontId="10" fillId="0" borderId="0" xfId="28" applyNumberFormat="1" applyFont="1" applyFill="1" applyBorder="1" applyAlignment="1">
      <alignment horizontal="right"/>
    </xf>
    <xf numFmtId="173" fontId="6" fillId="0" borderId="0" xfId="0" applyNumberFormat="1" applyFont="1"/>
    <xf numFmtId="0" fontId="7" fillId="0" borderId="23" xfId="0" applyFont="1" applyFill="1" applyBorder="1" applyAlignment="1">
      <alignment horizontal="center"/>
    </xf>
    <xf numFmtId="173" fontId="6" fillId="0" borderId="31" xfId="0" applyNumberFormat="1" applyFont="1" applyFill="1" applyBorder="1"/>
    <xf numFmtId="9" fontId="6" fillId="0" borderId="31" xfId="42" applyFont="1" applyFill="1" applyBorder="1" applyAlignment="1">
      <alignment horizontal="center"/>
    </xf>
    <xf numFmtId="173" fontId="7" fillId="0" borderId="24" xfId="0" applyNumberFormat="1" applyFont="1" applyFill="1" applyBorder="1"/>
    <xf numFmtId="170" fontId="8" fillId="0" borderId="0" xfId="0" applyNumberFormat="1" applyFont="1" applyFill="1" applyBorder="1" applyProtection="1">
      <protection locked="0"/>
    </xf>
    <xf numFmtId="170" fontId="8" fillId="0" borderId="0" xfId="0" applyNumberFormat="1" applyFont="1" applyFill="1" applyBorder="1" applyProtection="1"/>
    <xf numFmtId="173" fontId="7" fillId="0" borderId="22" xfId="0" applyNumberFormat="1" applyFont="1" applyFill="1" applyBorder="1" applyProtection="1"/>
    <xf numFmtId="9" fontId="7" fillId="0" borderId="24" xfId="42" applyFont="1" applyFill="1" applyBorder="1" applyAlignment="1">
      <alignment horizontal="center"/>
    </xf>
    <xf numFmtId="173" fontId="7" fillId="0" borderId="50" xfId="0" applyNumberFormat="1" applyFont="1" applyFill="1" applyBorder="1"/>
    <xf numFmtId="173" fontId="7" fillId="0" borderId="58" xfId="0" applyNumberFormat="1" applyFont="1" applyFill="1" applyBorder="1"/>
    <xf numFmtId="173" fontId="7" fillId="0" borderId="46" xfId="0" applyNumberFormat="1" applyFont="1" applyFill="1" applyBorder="1" applyProtection="1"/>
    <xf numFmtId="173" fontId="6" fillId="0" borderId="46" xfId="0" applyNumberFormat="1" applyFont="1" applyFill="1" applyBorder="1" applyProtection="1"/>
    <xf numFmtId="173" fontId="6" fillId="0" borderId="46" xfId="29" applyNumberFormat="1" applyFont="1" applyFill="1" applyBorder="1" applyProtection="1"/>
    <xf numFmtId="173" fontId="7" fillId="0" borderId="55" xfId="0" applyNumberFormat="1" applyFont="1" applyFill="1" applyBorder="1"/>
    <xf numFmtId="173"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3" fontId="6" fillId="0" borderId="10" xfId="0" applyNumberFormat="1" applyFont="1" applyFill="1" applyBorder="1" applyProtection="1"/>
    <xf numFmtId="173" fontId="6" fillId="0" borderId="26" xfId="0" applyNumberFormat="1" applyFont="1" applyFill="1" applyBorder="1" applyProtection="1"/>
    <xf numFmtId="173" fontId="6" fillId="0" borderId="37" xfId="0" applyNumberFormat="1" applyFont="1" applyFill="1" applyBorder="1" applyProtection="1"/>
    <xf numFmtId="173" fontId="6" fillId="0" borderId="54" xfId="0" applyNumberFormat="1" applyFont="1" applyFill="1" applyBorder="1" applyProtection="1"/>
    <xf numFmtId="173" fontId="6" fillId="0" borderId="66" xfId="0" applyNumberFormat="1" applyFont="1" applyFill="1" applyBorder="1" applyProtection="1"/>
    <xf numFmtId="173" fontId="6" fillId="0" borderId="81" xfId="0" applyNumberFormat="1" applyFont="1" applyFill="1" applyBorder="1" applyProtection="1"/>
    <xf numFmtId="173" fontId="6" fillId="0" borderId="51" xfId="0" applyNumberFormat="1" applyFont="1" applyFill="1" applyBorder="1" applyProtection="1"/>
    <xf numFmtId="173" fontId="7" fillId="0" borderId="10" xfId="0" applyNumberFormat="1" applyFont="1" applyFill="1" applyBorder="1" applyAlignment="1" applyProtection="1">
      <alignment vertical="top"/>
    </xf>
    <xf numFmtId="173" fontId="7" fillId="0" borderId="26" xfId="0" applyNumberFormat="1" applyFont="1" applyFill="1" applyBorder="1" applyAlignment="1" applyProtection="1">
      <alignment vertical="top"/>
    </xf>
    <xf numFmtId="173" fontId="7" fillId="0" borderId="22" xfId="0" applyNumberFormat="1" applyFont="1" applyFill="1" applyBorder="1" applyAlignment="1" applyProtection="1">
      <alignment vertical="top"/>
    </xf>
    <xf numFmtId="173" fontId="7" fillId="0" borderId="37" xfId="0" applyNumberFormat="1" applyFont="1" applyFill="1" applyBorder="1" applyAlignment="1" applyProtection="1">
      <alignment vertical="top"/>
    </xf>
    <xf numFmtId="173" fontId="7" fillId="0" borderId="46" xfId="0" applyNumberFormat="1" applyFont="1" applyFill="1" applyBorder="1" applyAlignment="1" applyProtection="1">
      <alignment vertical="top"/>
    </xf>
    <xf numFmtId="173" fontId="7" fillId="0" borderId="54" xfId="0" applyNumberFormat="1" applyFont="1" applyFill="1" applyBorder="1" applyProtection="1"/>
    <xf numFmtId="173" fontId="7" fillId="0" borderId="66" xfId="0" applyNumberFormat="1" applyFont="1" applyFill="1" applyBorder="1" applyProtection="1"/>
    <xf numFmtId="173" fontId="7" fillId="0" borderId="36" xfId="0" applyNumberFormat="1" applyFont="1" applyFill="1" applyBorder="1" applyProtection="1"/>
    <xf numFmtId="173" fontId="7" fillId="0" borderId="81" xfId="0" applyNumberFormat="1" applyFont="1" applyFill="1" applyBorder="1" applyProtection="1"/>
    <xf numFmtId="173" fontId="7" fillId="0" borderId="51" xfId="0" applyNumberFormat="1" applyFont="1" applyFill="1" applyBorder="1" applyProtection="1"/>
    <xf numFmtId="173" fontId="7" fillId="0" borderId="10" xfId="0" applyNumberFormat="1" applyFont="1" applyFill="1" applyBorder="1" applyProtection="1"/>
    <xf numFmtId="173" fontId="7" fillId="0" borderId="26" xfId="0" applyNumberFormat="1" applyFont="1" applyFill="1" applyBorder="1" applyProtection="1"/>
    <xf numFmtId="173" fontId="7" fillId="0" borderId="37" xfId="0" applyNumberFormat="1" applyFont="1" applyFill="1" applyBorder="1" applyProtection="1"/>
    <xf numFmtId="173" fontId="7" fillId="0" borderId="67" xfId="0" applyNumberFormat="1" applyFont="1" applyFill="1" applyBorder="1" applyProtection="1"/>
    <xf numFmtId="173" fontId="7" fillId="0" borderId="45" xfId="0" applyNumberFormat="1" applyFont="1" applyFill="1" applyBorder="1" applyProtection="1"/>
    <xf numFmtId="173" fontId="6" fillId="0" borderId="45" xfId="0" applyNumberFormat="1" applyFont="1" applyFill="1" applyBorder="1" applyProtection="1"/>
    <xf numFmtId="173" fontId="6" fillId="0" borderId="45" xfId="28" applyNumberFormat="1" applyFont="1" applyFill="1" applyBorder="1" applyProtection="1"/>
    <xf numFmtId="173" fontId="6" fillId="0" borderId="22" xfId="28" applyNumberFormat="1" applyFont="1" applyFill="1" applyBorder="1" applyProtection="1"/>
    <xf numFmtId="173" fontId="6" fillId="0" borderId="46" xfId="28" applyNumberFormat="1" applyFont="1" applyFill="1" applyBorder="1" applyProtection="1"/>
    <xf numFmtId="9" fontId="6" fillId="0" borderId="46" xfId="42" applyFont="1" applyFill="1" applyBorder="1" applyAlignment="1" applyProtection="1">
      <alignment horizontal="center"/>
    </xf>
    <xf numFmtId="173" fontId="6" fillId="0" borderId="46" xfId="0" applyNumberFormat="1" applyFont="1" applyFill="1" applyBorder="1" applyAlignment="1" applyProtection="1">
      <alignment horizontal="center"/>
    </xf>
    <xf numFmtId="173" fontId="6" fillId="0" borderId="51" xfId="0" applyNumberFormat="1" applyFont="1" applyFill="1" applyBorder="1" applyAlignment="1" applyProtection="1">
      <alignment horizontal="center"/>
    </xf>
    <xf numFmtId="173" fontId="6" fillId="0" borderId="67" xfId="0" applyNumberFormat="1" applyFont="1" applyFill="1" applyBorder="1" applyProtection="1"/>
    <xf numFmtId="0" fontId="6" fillId="0" borderId="0" xfId="0" applyFont="1" applyFill="1" applyAlignment="1" applyProtection="1">
      <alignment horizontal="center"/>
    </xf>
    <xf numFmtId="166"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6"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7"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8" fontId="6" fillId="0" borderId="0" xfId="0" applyNumberFormat="1" applyFont="1" applyFill="1"/>
    <xf numFmtId="0" fontId="10" fillId="0" borderId="0" xfId="0" applyFont="1" applyFill="1" applyBorder="1" applyAlignment="1" applyProtection="1">
      <alignment horizontal="right"/>
    </xf>
    <xf numFmtId="169"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3" fontId="6" fillId="0" borderId="37" xfId="0" applyNumberFormat="1" applyFont="1" applyBorder="1" applyProtection="1"/>
    <xf numFmtId="173" fontId="6" fillId="0" borderId="26" xfId="0" applyNumberFormat="1" applyFont="1" applyBorder="1" applyProtection="1"/>
    <xf numFmtId="173" fontId="6" fillId="0" borderId="22" xfId="0" applyNumberFormat="1" applyFont="1" applyBorder="1" applyProtection="1"/>
    <xf numFmtId="173" fontId="6" fillId="0" borderId="0" xfId="0" applyNumberFormat="1" applyFont="1" applyBorder="1" applyProtection="1"/>
    <xf numFmtId="173" fontId="6" fillId="0" borderId="13" xfId="0" applyNumberFormat="1" applyFont="1" applyBorder="1" applyProtection="1"/>
    <xf numFmtId="173"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9" fontId="7" fillId="0" borderId="22" xfId="0" applyNumberFormat="1" applyFont="1" applyBorder="1" applyAlignment="1">
      <alignment horizontal="center"/>
    </xf>
    <xf numFmtId="169" fontId="6" fillId="0" borderId="22" xfId="42" applyNumberFormat="1" applyFont="1" applyBorder="1" applyAlignment="1">
      <alignment horizontal="center"/>
    </xf>
    <xf numFmtId="169" fontId="7" fillId="0" borderId="31" xfId="0" applyNumberFormat="1" applyFont="1" applyBorder="1"/>
    <xf numFmtId="169" fontId="6" fillId="0" borderId="22" xfId="0" applyNumberFormat="1" applyFont="1" applyBorder="1"/>
    <xf numFmtId="169" fontId="7" fillId="0" borderId="43" xfId="42" applyNumberFormat="1" applyFont="1" applyBorder="1" applyAlignment="1">
      <alignment horizontal="center"/>
    </xf>
    <xf numFmtId="169" fontId="7" fillId="0" borderId="29" xfId="42" applyNumberFormat="1" applyFont="1" applyBorder="1" applyAlignment="1">
      <alignment horizontal="center"/>
    </xf>
    <xf numFmtId="173"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3" fontId="6" fillId="32" borderId="22" xfId="0" applyNumberFormat="1" applyFont="1" applyFill="1" applyBorder="1" applyProtection="1">
      <protection locked="0"/>
    </xf>
    <xf numFmtId="173" fontId="6" fillId="32" borderId="43" xfId="0" applyNumberFormat="1" applyFont="1" applyFill="1" applyBorder="1" applyProtection="1">
      <protection locked="0"/>
    </xf>
    <xf numFmtId="173" fontId="6" fillId="32" borderId="46" xfId="0" applyNumberFormat="1" applyFont="1" applyFill="1" applyBorder="1" applyProtection="1">
      <protection locked="0"/>
    </xf>
    <xf numFmtId="173" fontId="6" fillId="32" borderId="49" xfId="0" applyNumberFormat="1" applyFont="1" applyFill="1" applyBorder="1" applyProtection="1">
      <protection locked="0"/>
    </xf>
    <xf numFmtId="173" fontId="7" fillId="32" borderId="43" xfId="0" applyNumberFormat="1" applyFont="1" applyFill="1" applyBorder="1" applyProtection="1">
      <protection locked="0"/>
    </xf>
    <xf numFmtId="173" fontId="7" fillId="32" borderId="49" xfId="0" applyNumberFormat="1" applyFont="1" applyFill="1" applyBorder="1" applyProtection="1">
      <protection locked="0"/>
    </xf>
    <xf numFmtId="173" fontId="6" fillId="32" borderId="37" xfId="0" applyNumberFormat="1" applyFont="1" applyFill="1" applyBorder="1" applyAlignment="1" applyProtection="1">
      <alignment horizontal="right"/>
      <protection locked="0"/>
    </xf>
    <xf numFmtId="173" fontId="6" fillId="32" borderId="26" xfId="0" applyNumberFormat="1" applyFont="1" applyFill="1" applyBorder="1" applyAlignment="1" applyProtection="1">
      <alignment horizontal="right"/>
      <protection locked="0"/>
    </xf>
    <xf numFmtId="173" fontId="6" fillId="32" borderId="22" xfId="0" applyNumberFormat="1" applyFont="1" applyFill="1" applyBorder="1" applyAlignment="1" applyProtection="1">
      <alignment horizontal="right"/>
      <protection locked="0"/>
    </xf>
    <xf numFmtId="173" fontId="6" fillId="32" borderId="0" xfId="0" applyNumberFormat="1" applyFont="1" applyFill="1" applyBorder="1" applyAlignment="1" applyProtection="1">
      <alignment horizontal="right"/>
      <protection locked="0"/>
    </xf>
    <xf numFmtId="173" fontId="6" fillId="32" borderId="13" xfId="0" applyNumberFormat="1" applyFont="1" applyFill="1" applyBorder="1" applyAlignment="1" applyProtection="1">
      <alignment horizontal="right"/>
      <protection locked="0"/>
    </xf>
    <xf numFmtId="173" fontId="6" fillId="32" borderId="37" xfId="0" applyNumberFormat="1" applyFont="1" applyFill="1" applyBorder="1" applyProtection="1">
      <protection locked="0"/>
    </xf>
    <xf numFmtId="173" fontId="6" fillId="32" borderId="26" xfId="0" applyNumberFormat="1" applyFont="1" applyFill="1" applyBorder="1" applyProtection="1">
      <protection locked="0"/>
    </xf>
    <xf numFmtId="173" fontId="6" fillId="32" borderId="0" xfId="0" applyNumberFormat="1" applyFont="1" applyFill="1" applyBorder="1" applyProtection="1">
      <protection locked="0"/>
    </xf>
    <xf numFmtId="173" fontId="6" fillId="32" borderId="13" xfId="0" applyNumberFormat="1" applyFont="1" applyFill="1" applyBorder="1" applyProtection="1">
      <protection locked="0"/>
    </xf>
    <xf numFmtId="173" fontId="6" fillId="32" borderId="10" xfId="0" applyNumberFormat="1" applyFont="1" applyFill="1" applyBorder="1" applyProtection="1">
      <protection locked="0"/>
    </xf>
    <xf numFmtId="173" fontId="6" fillId="32" borderId="54" xfId="0" applyNumberFormat="1" applyFont="1" applyFill="1" applyBorder="1" applyProtection="1">
      <protection locked="0"/>
    </xf>
    <xf numFmtId="173" fontId="6" fillId="32" borderId="66" xfId="0" applyNumberFormat="1" applyFont="1" applyFill="1" applyBorder="1" applyProtection="1">
      <protection locked="0"/>
    </xf>
    <xf numFmtId="173" fontId="6" fillId="32" borderId="36" xfId="0" applyNumberFormat="1" applyFont="1" applyFill="1" applyBorder="1" applyProtection="1">
      <protection locked="0"/>
    </xf>
    <xf numFmtId="173" fontId="6" fillId="32" borderId="51" xfId="0" applyNumberFormat="1" applyFont="1" applyFill="1" applyBorder="1" applyProtection="1">
      <protection locked="0"/>
    </xf>
    <xf numFmtId="173" fontId="6" fillId="32" borderId="45" xfId="0" applyNumberFormat="1" applyFont="1" applyFill="1" applyBorder="1" applyProtection="1">
      <protection locked="0"/>
    </xf>
    <xf numFmtId="173" fontId="6" fillId="32" borderId="46" xfId="28" applyNumberFormat="1" applyFont="1" applyFill="1" applyBorder="1" applyProtection="1">
      <protection locked="0"/>
    </xf>
    <xf numFmtId="173" fontId="6" fillId="32" borderId="45" xfId="28" applyNumberFormat="1" applyFont="1" applyFill="1" applyBorder="1" applyProtection="1">
      <protection locked="0"/>
    </xf>
    <xf numFmtId="173" fontId="6" fillId="32" borderId="22" xfId="28" applyNumberFormat="1" applyFont="1" applyFill="1" applyBorder="1" applyProtection="1">
      <protection locked="0"/>
    </xf>
    <xf numFmtId="173"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3" fontId="6" fillId="32" borderId="19" xfId="0" applyNumberFormat="1" applyFont="1" applyFill="1" applyBorder="1" applyProtection="1">
      <protection locked="0"/>
    </xf>
    <xf numFmtId="169" fontId="6" fillId="32" borderId="10" xfId="42" applyNumberFormat="1" applyFont="1" applyFill="1" applyBorder="1" applyAlignment="1" applyProtection="1">
      <alignment horizontal="center" vertical="top" wrapText="1"/>
      <protection locked="0"/>
    </xf>
    <xf numFmtId="169" fontId="6" fillId="32" borderId="45" xfId="42" applyNumberFormat="1" applyFont="1" applyFill="1" applyBorder="1" applyAlignment="1" applyProtection="1">
      <alignment horizontal="center" vertical="top" wrapText="1"/>
      <protection locked="0"/>
    </xf>
    <xf numFmtId="169" fontId="6" fillId="32" borderId="22" xfId="42" applyNumberFormat="1" applyFont="1" applyFill="1" applyBorder="1" applyAlignment="1" applyProtection="1">
      <alignment horizontal="center" vertical="top" wrapText="1"/>
      <protection locked="0"/>
    </xf>
    <xf numFmtId="169" fontId="6" fillId="32" borderId="46" xfId="42" applyNumberFormat="1" applyFont="1" applyFill="1" applyBorder="1" applyAlignment="1" applyProtection="1">
      <alignment horizontal="center" vertical="top" wrapText="1"/>
      <protection locked="0"/>
    </xf>
    <xf numFmtId="169" fontId="6" fillId="32" borderId="19" xfId="42" applyNumberFormat="1" applyFont="1" applyFill="1" applyBorder="1" applyAlignment="1" applyProtection="1">
      <alignment horizontal="center" vertical="top" wrapText="1"/>
      <protection locked="0"/>
    </xf>
    <xf numFmtId="169" fontId="6" fillId="32" borderId="58" xfId="42" applyNumberFormat="1" applyFont="1" applyFill="1" applyBorder="1" applyAlignment="1" applyProtection="1">
      <alignment horizontal="center" vertical="top" wrapText="1"/>
      <protection locked="0"/>
    </xf>
    <xf numFmtId="169" fontId="6" fillId="32" borderId="24" xfId="42" applyNumberFormat="1" applyFont="1" applyFill="1" applyBorder="1" applyAlignment="1" applyProtection="1">
      <alignment horizontal="center" vertical="top" wrapText="1"/>
      <protection locked="0"/>
    </xf>
    <xf numFmtId="169" fontId="6" fillId="32" borderId="50" xfId="42" applyNumberFormat="1" applyFont="1" applyFill="1" applyBorder="1" applyAlignment="1" applyProtection="1">
      <alignment horizontal="center" vertical="top" wrapText="1"/>
      <protection locked="0"/>
    </xf>
    <xf numFmtId="170" fontId="6" fillId="32" borderId="0" xfId="0" applyNumberFormat="1" applyFont="1" applyFill="1" applyBorder="1" applyProtection="1">
      <protection locked="0"/>
    </xf>
    <xf numFmtId="170" fontId="6" fillId="32" borderId="13" xfId="0" applyNumberFormat="1" applyFont="1" applyFill="1" applyBorder="1" applyProtection="1">
      <protection locked="0"/>
    </xf>
    <xf numFmtId="170" fontId="6" fillId="32" borderId="0" xfId="28" applyNumberFormat="1" applyFont="1" applyFill="1" applyBorder="1" applyProtection="1">
      <protection locked="0"/>
    </xf>
    <xf numFmtId="170" fontId="6" fillId="32" borderId="13" xfId="28" applyNumberFormat="1" applyFont="1" applyFill="1" applyBorder="1" applyProtection="1">
      <protection locked="0"/>
    </xf>
    <xf numFmtId="170" fontId="6" fillId="32" borderId="14" xfId="28" applyNumberFormat="1" applyFont="1" applyFill="1" applyBorder="1" applyProtection="1">
      <protection locked="0"/>
    </xf>
    <xf numFmtId="170" fontId="6" fillId="32" borderId="14" xfId="0" applyNumberFormat="1" applyFont="1" applyFill="1" applyBorder="1" applyProtection="1">
      <protection locked="0"/>
    </xf>
    <xf numFmtId="170"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3" fontId="6" fillId="32" borderId="67" xfId="0" applyNumberFormat="1" applyFont="1" applyFill="1" applyBorder="1" applyProtection="1">
      <protection locked="0"/>
    </xf>
    <xf numFmtId="173"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3" fontId="7" fillId="32" borderId="67" xfId="0" applyNumberFormat="1" applyFont="1" applyFill="1" applyBorder="1" applyProtection="1">
      <protection locked="0"/>
    </xf>
    <xf numFmtId="173"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3" fontId="7" fillId="32" borderId="10" xfId="0" applyNumberFormat="1" applyFont="1" applyFill="1" applyBorder="1" applyProtection="1">
      <protection locked="0"/>
    </xf>
    <xf numFmtId="173" fontId="7" fillId="32" borderId="26" xfId="0" applyNumberFormat="1" applyFont="1" applyFill="1" applyBorder="1" applyProtection="1">
      <protection locked="0"/>
    </xf>
    <xf numFmtId="173" fontId="7" fillId="32" borderId="22" xfId="0" applyNumberFormat="1" applyFont="1" applyFill="1" applyBorder="1" applyProtection="1">
      <protection locked="0"/>
    </xf>
    <xf numFmtId="173"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3"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6"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6"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3"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9" fontId="7" fillId="0" borderId="46" xfId="42" applyNumberFormat="1" applyFont="1" applyFill="1" applyBorder="1" applyAlignment="1">
      <alignment horizontal="center" wrapText="1"/>
    </xf>
    <xf numFmtId="169" fontId="6" fillId="0" borderId="49" xfId="42" applyNumberFormat="1" applyFont="1" applyFill="1" applyBorder="1" applyAlignment="1">
      <alignment horizontal="center" vertical="top" wrapText="1"/>
    </xf>
    <xf numFmtId="169" fontId="7" fillId="0" borderId="49" xfId="42" applyNumberFormat="1" applyFont="1" applyFill="1" applyBorder="1" applyAlignment="1">
      <alignment horizontal="center" vertical="top" wrapText="1"/>
    </xf>
    <xf numFmtId="169" fontId="7" fillId="0" borderId="47" xfId="42" applyNumberFormat="1" applyFont="1" applyFill="1" applyBorder="1" applyAlignment="1">
      <alignment horizontal="center" vertical="top" wrapText="1"/>
    </xf>
    <xf numFmtId="169"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3" fontId="6" fillId="0" borderId="11" xfId="0" applyNumberFormat="1" applyFont="1" applyBorder="1"/>
    <xf numFmtId="173" fontId="7" fillId="0" borderId="11" xfId="0" applyNumberFormat="1" applyFont="1" applyBorder="1"/>
    <xf numFmtId="173"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3" fontId="7" fillId="0" borderId="54" xfId="0" applyNumberFormat="1" applyFont="1" applyFill="1" applyBorder="1"/>
    <xf numFmtId="173" fontId="7" fillId="0" borderId="62" xfId="0" applyNumberFormat="1" applyFont="1" applyFill="1" applyBorder="1"/>
    <xf numFmtId="173" fontId="7" fillId="0" borderId="36" xfId="0" applyNumberFormat="1" applyFont="1" applyFill="1" applyBorder="1"/>
    <xf numFmtId="173"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7" fontId="6" fillId="32" borderId="46" xfId="0" applyNumberFormat="1" applyFont="1" applyFill="1" applyBorder="1" applyAlignment="1" applyProtection="1">
      <alignment horizontal="center"/>
      <protection locked="0"/>
    </xf>
    <xf numFmtId="173" fontId="6" fillId="32" borderId="26" xfId="0" applyNumberFormat="1" applyFont="1" applyFill="1" applyBorder="1" applyAlignment="1" applyProtection="1">
      <protection locked="0"/>
    </xf>
    <xf numFmtId="173" fontId="6" fillId="32" borderId="45" xfId="0" applyNumberFormat="1" applyFont="1" applyFill="1" applyBorder="1" applyAlignment="1" applyProtection="1">
      <protection locked="0"/>
    </xf>
    <xf numFmtId="173" fontId="6" fillId="32" borderId="22" xfId="0" applyNumberFormat="1" applyFont="1" applyFill="1" applyBorder="1" applyAlignment="1" applyProtection="1">
      <protection locked="0"/>
    </xf>
    <xf numFmtId="173" fontId="7" fillId="0" borderId="46" xfId="0" applyNumberFormat="1" applyFont="1" applyBorder="1" applyAlignment="1" applyProtection="1"/>
    <xf numFmtId="0" fontId="6" fillId="0" borderId="78" xfId="0" applyNumberFormat="1" applyFont="1" applyBorder="1" applyAlignment="1">
      <alignment horizontal="center"/>
    </xf>
    <xf numFmtId="177" fontId="6" fillId="0" borderId="49" xfId="0" applyNumberFormat="1" applyFont="1" applyBorder="1" applyAlignment="1">
      <alignment horizontal="center"/>
    </xf>
    <xf numFmtId="173" fontId="7" fillId="0" borderId="52" xfId="0" applyNumberFormat="1" applyFont="1" applyBorder="1" applyAlignment="1"/>
    <xf numFmtId="173" fontId="7" fillId="0" borderId="60" xfId="0" applyNumberFormat="1" applyFont="1" applyBorder="1" applyAlignment="1"/>
    <xf numFmtId="173" fontId="7" fillId="0" borderId="43" xfId="0" applyNumberFormat="1" applyFont="1" applyBorder="1" applyAlignment="1"/>
    <xf numFmtId="173" fontId="7" fillId="0" borderId="49" xfId="0" applyNumberFormat="1" applyFont="1" applyBorder="1" applyAlignment="1"/>
    <xf numFmtId="0" fontId="6" fillId="0" borderId="37" xfId="0" applyNumberFormat="1" applyFont="1" applyBorder="1" applyAlignment="1">
      <alignment horizontal="center"/>
    </xf>
    <xf numFmtId="177" fontId="6" fillId="0" borderId="46" xfId="0" applyNumberFormat="1" applyFont="1" applyBorder="1" applyAlignment="1">
      <alignment horizontal="center"/>
    </xf>
    <xf numFmtId="173" fontId="6" fillId="0" borderId="26" xfId="0" applyNumberFormat="1" applyFont="1" applyBorder="1" applyAlignment="1"/>
    <xf numFmtId="173" fontId="6" fillId="0" borderId="45" xfId="0" applyNumberFormat="1" applyFont="1" applyBorder="1" applyAlignment="1"/>
    <xf numFmtId="173" fontId="6" fillId="0" borderId="22" xfId="0" applyNumberFormat="1" applyFont="1" applyBorder="1" applyAlignment="1"/>
    <xf numFmtId="173" fontId="6" fillId="0" borderId="46" xfId="0" applyNumberFormat="1" applyFont="1" applyBorder="1" applyAlignment="1"/>
    <xf numFmtId="0" fontId="6" fillId="0" borderId="52" xfId="0" applyNumberFormat="1" applyFont="1" applyBorder="1" applyAlignment="1">
      <alignment horizontal="center"/>
    </xf>
    <xf numFmtId="173" fontId="7" fillId="0" borderId="26" xfId="0" applyNumberFormat="1" applyFont="1" applyBorder="1" applyAlignment="1"/>
    <xf numFmtId="173" fontId="7" fillId="0" borderId="45" xfId="0" applyNumberFormat="1" applyFont="1" applyBorder="1" applyAlignment="1"/>
    <xf numFmtId="173" fontId="7" fillId="0" borderId="22" xfId="0" applyNumberFormat="1" applyFont="1" applyBorder="1" applyAlignment="1"/>
    <xf numFmtId="173"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7" fontId="6" fillId="0" borderId="50" xfId="0" applyNumberFormat="1" applyFont="1" applyBorder="1" applyAlignment="1">
      <alignment horizontal="center"/>
    </xf>
    <xf numFmtId="173" fontId="7" fillId="0" borderId="30" xfId="0" applyNumberFormat="1" applyFont="1" applyBorder="1" applyAlignment="1"/>
    <xf numFmtId="173" fontId="7" fillId="0" borderId="64" xfId="0" applyNumberFormat="1" applyFont="1" applyBorder="1" applyAlignment="1"/>
    <xf numFmtId="173" fontId="7" fillId="0" borderId="29" xfId="0" applyNumberFormat="1" applyFont="1" applyBorder="1" applyAlignment="1"/>
    <xf numFmtId="173" fontId="7" fillId="0" borderId="56" xfId="0" applyNumberFormat="1" applyFont="1" applyBorder="1" applyAlignment="1"/>
    <xf numFmtId="173" fontId="6" fillId="0" borderId="10" xfId="0" applyNumberFormat="1" applyFont="1" applyFill="1" applyBorder="1" applyAlignment="1" applyProtection="1">
      <alignment horizontal="left" vertical="top" wrapText="1" indent="1"/>
    </xf>
    <xf numFmtId="173" fontId="6" fillId="0" borderId="26" xfId="0" applyNumberFormat="1" applyFont="1" applyFill="1" applyBorder="1" applyAlignment="1" applyProtection="1">
      <alignment horizontal="left" vertical="top" wrapText="1" indent="1"/>
    </xf>
    <xf numFmtId="173" fontId="6" fillId="0" borderId="22" xfId="0" applyNumberFormat="1" applyFont="1" applyFill="1" applyBorder="1" applyAlignment="1" applyProtection="1">
      <alignment horizontal="left" vertical="top" wrapText="1" indent="1"/>
    </xf>
    <xf numFmtId="173" fontId="6" fillId="0" borderId="37" xfId="0" applyNumberFormat="1" applyFont="1" applyFill="1" applyBorder="1" applyAlignment="1" applyProtection="1">
      <alignment horizontal="left" vertical="top" wrapText="1" indent="1"/>
    </xf>
    <xf numFmtId="174" fontId="6" fillId="0" borderId="22" xfId="42" applyNumberFormat="1" applyFont="1" applyBorder="1" applyAlignment="1">
      <alignment horizontal="left" vertical="top" wrapText="1" indent="1"/>
    </xf>
    <xf numFmtId="173"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70" fontId="6" fillId="0" borderId="10" xfId="0" applyNumberFormat="1" applyFont="1" applyBorder="1" applyAlignment="1">
      <alignment horizontal="left" vertical="top" wrapText="1" indent="1"/>
    </xf>
    <xf numFmtId="173" fontId="6" fillId="32" borderId="45" xfId="0" applyNumberFormat="1" applyFont="1" applyFill="1" applyBorder="1" applyAlignment="1" applyProtection="1">
      <alignment horizontal="left" vertical="top" wrapText="1" indent="1"/>
      <protection locked="0"/>
    </xf>
    <xf numFmtId="173" fontId="6" fillId="32" borderId="22" xfId="0" applyNumberFormat="1" applyFont="1" applyFill="1" applyBorder="1" applyAlignment="1" applyProtection="1">
      <alignment horizontal="left" vertical="top" wrapText="1" indent="1"/>
      <protection locked="0"/>
    </xf>
    <xf numFmtId="173" fontId="6" fillId="0" borderId="37" xfId="0" applyNumberFormat="1" applyFont="1" applyBorder="1" applyAlignment="1">
      <alignment horizontal="left" vertical="top" wrapText="1" indent="1"/>
    </xf>
    <xf numFmtId="173" fontId="6" fillId="32" borderId="26" xfId="0" applyNumberFormat="1" applyFont="1" applyFill="1" applyBorder="1" applyAlignment="1" applyProtection="1">
      <alignment horizontal="left" vertical="top" wrapText="1" indent="1"/>
      <protection locked="0"/>
    </xf>
    <xf numFmtId="173" fontId="6" fillId="32" borderId="46" xfId="0" applyNumberFormat="1" applyFont="1" applyFill="1" applyBorder="1" applyAlignment="1" applyProtection="1">
      <alignment horizontal="left" vertical="top" wrapText="1" indent="1"/>
      <protection locked="0"/>
    </xf>
    <xf numFmtId="173" fontId="6" fillId="32" borderId="37" xfId="0" applyNumberFormat="1" applyFont="1" applyFill="1" applyBorder="1" applyAlignment="1" applyProtection="1">
      <alignment horizontal="center"/>
      <protection locked="0"/>
    </xf>
    <xf numFmtId="164"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9" fontId="6" fillId="32" borderId="10" xfId="0" applyNumberFormat="1" applyFont="1" applyFill="1" applyBorder="1" applyProtection="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533898793.88999999</c:v>
                </c:pt>
                <c:pt idx="1">
                  <c:v>139733389.99000001</c:v>
                </c:pt>
                <c:pt idx="2">
                  <c:v>114633260.59999998</c:v>
                </c:pt>
                <c:pt idx="3">
                  <c:v>130309673.16999997</c:v>
                </c:pt>
                <c:pt idx="4">
                  <c:v>101513987.42</c:v>
                </c:pt>
                <c:pt idx="5">
                  <c:v>89202953.219999999</c:v>
                </c:pt>
                <c:pt idx="6">
                  <c:v>397997089.10999995</c:v>
                </c:pt>
                <c:pt idx="7">
                  <c:v>3251963442.4299994</c:v>
                </c:pt>
              </c:numCache>
            </c:numRef>
          </c:val>
          <c:extLst>
            <c:ext xmlns:c16="http://schemas.microsoft.com/office/drawing/2014/chart" uri="{C3380CC4-5D6E-409C-BE32-E72D297353CC}">
              <c16:uniqueId val="{00000000-3741-4E81-9CDC-DBD4668542CC}"/>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704600774.9000001</c:v>
                </c:pt>
                <c:pt idx="1">
                  <c:v>-4325301.05</c:v>
                </c:pt>
                <c:pt idx="2">
                  <c:v>117682805.63000001</c:v>
                </c:pt>
                <c:pt idx="3">
                  <c:v>101021025.72999999</c:v>
                </c:pt>
                <c:pt idx="4">
                  <c:v>97617113.169999987</c:v>
                </c:pt>
                <c:pt idx="5">
                  <c:v>89416119.010000005</c:v>
                </c:pt>
                <c:pt idx="6">
                  <c:v>534223289.34000003</c:v>
                </c:pt>
                <c:pt idx="7">
                  <c:v>2831952593.4300003</c:v>
                </c:pt>
              </c:numCache>
            </c:numRef>
          </c:val>
          <c:extLst>
            <c:ext xmlns:c16="http://schemas.microsoft.com/office/drawing/2014/chart" uri="{C3380CC4-5D6E-409C-BE32-E72D297353CC}">
              <c16:uniqueId val="{00000001-3741-4E81-9CDC-DBD4668542CC}"/>
            </c:ext>
          </c:extLst>
        </c:ser>
        <c:dLbls>
          <c:showLegendKey val="0"/>
          <c:showVal val="0"/>
          <c:showCatName val="0"/>
          <c:showSerName val="0"/>
          <c:showPercent val="0"/>
          <c:showBubbleSize val="0"/>
        </c:dLbls>
        <c:gapWidth val="150"/>
        <c:shape val="box"/>
        <c:axId val="479687664"/>
        <c:axId val="1"/>
        <c:axId val="0"/>
      </c:bar3DChart>
      <c:catAx>
        <c:axId val="479687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796876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701895370.55599999</c:v>
                </c:pt>
                <c:pt idx="1">
                  <c:v>246005336.81129998</c:v>
                </c:pt>
                <c:pt idx="2">
                  <c:v>3436373476.0958004</c:v>
                </c:pt>
                <c:pt idx="3">
                  <c:v>232200828.67199999</c:v>
                </c:pt>
              </c:numCache>
            </c:numRef>
          </c:val>
          <c:extLst>
            <c:ext xmlns:c16="http://schemas.microsoft.com/office/drawing/2014/chart" uri="{C3380CC4-5D6E-409C-BE32-E72D297353CC}">
              <c16:uniqueId val="{00000000-485C-479C-BEDB-943D2F4F7F0D}"/>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723603474.80000007</c:v>
                </c:pt>
                <c:pt idx="1">
                  <c:v>253613749.28999999</c:v>
                </c:pt>
                <c:pt idx="2">
                  <c:v>3542653068.1400003</c:v>
                </c:pt>
                <c:pt idx="3">
                  <c:v>239382297.59999999</c:v>
                </c:pt>
              </c:numCache>
            </c:numRef>
          </c:val>
          <c:extLst>
            <c:ext xmlns:c16="http://schemas.microsoft.com/office/drawing/2014/chart" uri="{C3380CC4-5D6E-409C-BE32-E72D297353CC}">
              <c16:uniqueId val="{00000001-485C-479C-BEDB-943D2F4F7F0D}"/>
            </c:ext>
          </c:extLst>
        </c:ser>
        <c:dLbls>
          <c:showLegendKey val="0"/>
          <c:showVal val="0"/>
          <c:showCatName val="0"/>
          <c:showSerName val="0"/>
          <c:showPercent val="0"/>
          <c:showBubbleSize val="0"/>
        </c:dLbls>
        <c:gapWidth val="150"/>
        <c:shape val="box"/>
        <c:axId val="479685696"/>
        <c:axId val="1"/>
        <c:axId val="0"/>
      </c:bar3DChart>
      <c:catAx>
        <c:axId val="479685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7968569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256245094.77000001</c:v>
                </c:pt>
                <c:pt idx="1">
                  <c:v>81130845.659999996</c:v>
                </c:pt>
                <c:pt idx="2">
                  <c:v>0</c:v>
                </c:pt>
                <c:pt idx="3">
                  <c:v>179563284.99000001</c:v>
                </c:pt>
                <c:pt idx="4">
                  <c:v>0</c:v>
                </c:pt>
                <c:pt idx="5">
                  <c:v>0</c:v>
                </c:pt>
                <c:pt idx="6">
                  <c:v>83717874.810000002</c:v>
                </c:pt>
                <c:pt idx="7">
                  <c:v>0</c:v>
                </c:pt>
                <c:pt idx="8">
                  <c:v>211758765.66999999</c:v>
                </c:pt>
              </c:numCache>
            </c:numRef>
          </c:val>
          <c:extLst>
            <c:ext xmlns:c16="http://schemas.microsoft.com/office/drawing/2014/chart" uri="{C3380CC4-5D6E-409C-BE32-E72D297353CC}">
              <c16:uniqueId val="{00000000-EA64-4D5D-88D7-131706845DD5}"/>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391455847.33999997</c:v>
                </c:pt>
                <c:pt idx="1">
                  <c:v>297349375.57999998</c:v>
                </c:pt>
                <c:pt idx="2">
                  <c:v>0</c:v>
                </c:pt>
                <c:pt idx="3">
                  <c:v>212318145.49999997</c:v>
                </c:pt>
                <c:pt idx="4">
                  <c:v>0</c:v>
                </c:pt>
                <c:pt idx="5">
                  <c:v>0</c:v>
                </c:pt>
                <c:pt idx="6">
                  <c:v>78013250.450000048</c:v>
                </c:pt>
                <c:pt idx="7">
                  <c:v>946631.06</c:v>
                </c:pt>
                <c:pt idx="8">
                  <c:v>373249543.65999997</c:v>
                </c:pt>
              </c:numCache>
            </c:numRef>
          </c:val>
          <c:extLst>
            <c:ext xmlns:c16="http://schemas.microsoft.com/office/drawing/2014/chart" uri="{C3380CC4-5D6E-409C-BE32-E72D297353CC}">
              <c16:uniqueId val="{00000001-EA64-4D5D-88D7-131706845DD5}"/>
            </c:ext>
          </c:extLst>
        </c:ser>
        <c:dLbls>
          <c:showLegendKey val="0"/>
          <c:showVal val="0"/>
          <c:showCatName val="0"/>
          <c:showSerName val="0"/>
          <c:showPercent val="0"/>
          <c:showBubbleSize val="0"/>
        </c:dLbls>
        <c:gapWidth val="150"/>
        <c:shape val="box"/>
        <c:axId val="479688320"/>
        <c:axId val="1"/>
        <c:axId val="0"/>
      </c:bar3DChart>
      <c:catAx>
        <c:axId val="47968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883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6372-401B-B02D-E25F0EE9C0E5}"/>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6372-401B-B02D-E25F0EE9C0E5}"/>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372-401B-B02D-E25F0EE9C0E5}"/>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936648.53999999957</c:v>
                </c:pt>
                <c:pt idx="1">
                  <c:v>28293360.050000001</c:v>
                </c:pt>
                <c:pt idx="2">
                  <c:v>51590953.230000004</c:v>
                </c:pt>
                <c:pt idx="3">
                  <c:v>34751661.439999998</c:v>
                </c:pt>
                <c:pt idx="4">
                  <c:v>64917006.57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372-401B-B02D-E25F0EE9C0E5}"/>
            </c:ext>
          </c:extLst>
        </c:ser>
        <c:dLbls>
          <c:showLegendKey val="0"/>
          <c:showVal val="0"/>
          <c:showCatName val="0"/>
          <c:showSerName val="0"/>
          <c:showPercent val="0"/>
          <c:showBubbleSize val="0"/>
        </c:dLbls>
        <c:gapWidth val="150"/>
        <c:shape val="box"/>
        <c:axId val="479691928"/>
        <c:axId val="1"/>
        <c:axId val="0"/>
      </c:bar3DChart>
      <c:catAx>
        <c:axId val="47969192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9192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936648.53999999957</c:v>
                </c:pt>
                <c:pt idx="1">
                  <c:v>29230008.59</c:v>
                </c:pt>
                <c:pt idx="2">
                  <c:v>80820961.820000008</c:v>
                </c:pt>
                <c:pt idx="3">
                  <c:v>115572623.26000001</c:v>
                </c:pt>
                <c:pt idx="4">
                  <c:v>180489629.83000001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815-4402-A808-29F69984B8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6815-4402-A808-29F69984B89A}"/>
            </c:ext>
          </c:extLst>
        </c:ser>
        <c:dLbls>
          <c:showLegendKey val="0"/>
          <c:showVal val="0"/>
          <c:showCatName val="0"/>
          <c:showSerName val="0"/>
          <c:showPercent val="0"/>
          <c:showBubbleSize val="0"/>
        </c:dLbls>
        <c:gapWidth val="150"/>
        <c:shape val="box"/>
        <c:axId val="480102656"/>
        <c:axId val="1"/>
        <c:axId val="0"/>
      </c:bar3DChart>
      <c:catAx>
        <c:axId val="4801026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80102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3"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5" val="1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587" name="Group 28"/>
        <xdr:cNvGrpSpPr>
          <a:grpSpLocks/>
        </xdr:cNvGrpSpPr>
      </xdr:nvGrpSpPr>
      <xdr:grpSpPr bwMode="auto">
        <a:xfrm>
          <a:off x="0" y="0"/>
          <a:ext cx="8601075" cy="6400800"/>
          <a:chOff x="0" y="0"/>
          <a:chExt cx="903" cy="672"/>
        </a:xfrm>
      </xdr:grpSpPr>
      <xdr:grpSp>
        <xdr:nvGrpSpPr>
          <xdr:cNvPr id="1656589" name="Group 1"/>
          <xdr:cNvGrpSpPr>
            <a:grpSpLocks/>
          </xdr:cNvGrpSpPr>
        </xdr:nvGrpSpPr>
        <xdr:grpSpPr bwMode="auto">
          <a:xfrm>
            <a:off x="0" y="0"/>
            <a:ext cx="903" cy="672"/>
            <a:chOff x="0" y="0"/>
            <a:chExt cx="791" cy="672"/>
          </a:xfrm>
        </xdr:grpSpPr>
        <xdr:grpSp>
          <xdr:nvGrpSpPr>
            <xdr:cNvPr id="1656591" name="Group 2"/>
            <xdr:cNvGrpSpPr>
              <a:grpSpLocks/>
            </xdr:cNvGrpSpPr>
          </xdr:nvGrpSpPr>
          <xdr:grpSpPr bwMode="auto">
            <a:xfrm>
              <a:off x="0" y="0"/>
              <a:ext cx="791" cy="672"/>
              <a:chOff x="12" y="17"/>
              <a:chExt cx="791" cy="672"/>
            </a:xfrm>
          </xdr:grpSpPr>
          <xdr:pic>
            <xdr:nvPicPr>
              <xdr:cNvPr id="165659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95" name="Group 5"/>
              <xdr:cNvGrpSpPr>
                <a:grpSpLocks/>
              </xdr:cNvGrpSpPr>
            </xdr:nvGrpSpPr>
            <xdr:grpSpPr bwMode="auto">
              <a:xfrm>
                <a:off x="416" y="255"/>
                <a:ext cx="367" cy="413"/>
                <a:chOff x="416" y="255"/>
                <a:chExt cx="367" cy="413"/>
              </a:xfrm>
            </xdr:grpSpPr>
            <xdr:pic>
              <xdr:nvPicPr>
                <xdr:cNvPr id="165660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601" name="Group 7"/>
                <xdr:cNvGrpSpPr>
                  <a:grpSpLocks/>
                </xdr:cNvGrpSpPr>
              </xdr:nvGrpSpPr>
              <xdr:grpSpPr bwMode="auto">
                <a:xfrm>
                  <a:off x="432" y="264"/>
                  <a:ext cx="286" cy="128"/>
                  <a:chOff x="426" y="263"/>
                  <a:chExt cx="290" cy="130"/>
                </a:xfrm>
              </xdr:grpSpPr>
              <xdr:pic>
                <xdr:nvPicPr>
                  <xdr:cNvPr id="165660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60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96" name="Group 11"/>
              <xdr:cNvGrpSpPr>
                <a:grpSpLocks/>
              </xdr:cNvGrpSpPr>
            </xdr:nvGrpSpPr>
            <xdr:grpSpPr bwMode="auto">
              <a:xfrm>
                <a:off x="76" y="364"/>
                <a:ext cx="289" cy="256"/>
                <a:chOff x="76" y="364"/>
                <a:chExt cx="289" cy="256"/>
              </a:xfrm>
            </xdr:grpSpPr>
            <xdr:pic>
              <xdr:nvPicPr>
                <xdr:cNvPr id="165659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9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31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31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328" name="TextBox2"/>
            <xdr:cNvPicPr preferRelativeResize="0">
              <a:picLocks noChangeArrowheads="1" noChangeShapeType="1"/>
              <a:extLst>
                <a:ext uri="{84589F7E-364E-4C9E-8A38-B11213B215E9}">
                  <a14:cameraTool cellRange="FinYear" spid="_x0000_s1898896"/>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33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3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3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3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1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H5" activePane="bottomRight" state="frozen"/>
      <selection pane="topRight"/>
      <selection pane="bottomLeft"/>
      <selection pane="bottomRight" sqref="A1:XFD104857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5" t="str">
        <f>muni&amp; " - "&amp;S71C&amp; " - "&amp;date</f>
        <v>KZN225 Msunduzi - Table C3 Monthly Budget Statement - Financial Performance (revenue and expenditure by municipal vote) - M05 November</v>
      </c>
      <c r="B1" s="1045"/>
      <c r="C1" s="1045"/>
      <c r="D1" s="1045"/>
      <c r="E1" s="1045"/>
      <c r="F1" s="1045"/>
      <c r="G1" s="1045"/>
      <c r="H1" s="1045"/>
      <c r="I1" s="1045"/>
      <c r="J1" s="1045"/>
      <c r="K1" s="1045"/>
    </row>
    <row r="2" spans="1:24" x14ac:dyDescent="0.25">
      <c r="A2" s="20" t="str">
        <f>Vdesc</f>
        <v>Vote Description</v>
      </c>
      <c r="B2" s="1036" t="str">
        <f>head27</f>
        <v>Ref</v>
      </c>
      <c r="C2" s="142" t="str">
        <f>Head1</f>
        <v>2019/20</v>
      </c>
      <c r="D2" s="1038" t="str">
        <f>Head2</f>
        <v>Budget Year 2020/21</v>
      </c>
      <c r="E2" s="1039"/>
      <c r="F2" s="1039"/>
      <c r="G2" s="1039"/>
      <c r="H2" s="1039"/>
      <c r="I2" s="1039"/>
      <c r="J2" s="1039"/>
      <c r="K2" s="1040"/>
    </row>
    <row r="3" spans="1:24" ht="25.5" x14ac:dyDescent="0.25">
      <c r="A3" s="168"/>
      <c r="B3" s="104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48"/>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0</v>
      </c>
      <c r="G6" s="44">
        <f>'C3C'!G6</f>
        <v>0</v>
      </c>
      <c r="H6" s="44">
        <f>'C3C'!H6</f>
        <v>1853137.5055833333</v>
      </c>
      <c r="I6" s="44">
        <f>G6-H6</f>
        <v>-1853137.5055833333</v>
      </c>
      <c r="J6" s="715">
        <f>IF(I6=0,"",I6/H6)</f>
        <v>-1</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101303028.93000001</v>
      </c>
      <c r="G7" s="44">
        <f>'C3C'!G17</f>
        <v>719723264.33000004</v>
      </c>
      <c r="H7" s="44">
        <f>'C3C'!H17</f>
        <v>1035471644.0779722</v>
      </c>
      <c r="I7" s="44">
        <f t="shared" ref="I7:I20" si="0">G7-H7</f>
        <v>-315748379.74797213</v>
      </c>
      <c r="J7" s="715">
        <f t="shared" ref="J7:J21" si="1">IF(I7=0,"",I7/H7)</f>
        <v>-0.30493194241849847</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18437956.829999998</v>
      </c>
      <c r="G8" s="44">
        <f>'C3C'!G28</f>
        <v>79077914.590000004</v>
      </c>
      <c r="H8" s="44">
        <f>'C3C'!H28</f>
        <v>89443476.789913207</v>
      </c>
      <c r="I8" s="44">
        <f t="shared" si="0"/>
        <v>-10365562.199913204</v>
      </c>
      <c r="J8" s="715">
        <f t="shared" si="1"/>
        <v>-0.11588952679310603</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0</v>
      </c>
      <c r="G9" s="44">
        <f>'C3C'!G39</f>
        <v>396487.32</v>
      </c>
      <c r="H9" s="44">
        <f>'C3C'!H39</f>
        <v>8016325.2860416668</v>
      </c>
      <c r="I9" s="44">
        <f t="shared" si="0"/>
        <v>-7619837.9660416665</v>
      </c>
      <c r="J9" s="715">
        <f t="shared" si="1"/>
        <v>-0.9505400160482036</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323355272.69</v>
      </c>
      <c r="G10" s="44">
        <f>'C3C'!G50</f>
        <v>1717016541.6700001</v>
      </c>
      <c r="H10" s="44">
        <f>'C3C'!H50</f>
        <v>1406810988.6256216</v>
      </c>
      <c r="I10" s="44">
        <f t="shared" si="0"/>
        <v>310205553.04437852</v>
      </c>
      <c r="J10" s="715">
        <f t="shared" si="1"/>
        <v>0.2205026514240073</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432870465.38774735</v>
      </c>
      <c r="F11" s="44">
        <f>'C3C'!F61</f>
        <v>18955167.52</v>
      </c>
      <c r="G11" s="44">
        <f>'C3C'!G61</f>
        <v>55201839.439999998</v>
      </c>
      <c r="H11" s="44">
        <f>'C3C'!H61</f>
        <v>180362693.9115614</v>
      </c>
      <c r="I11" s="44">
        <f t="shared" si="0"/>
        <v>-125160854.4715614</v>
      </c>
      <c r="J11" s="715">
        <f t="shared" si="1"/>
        <v>-0.69393981514232905</v>
      </c>
      <c r="K11" s="144">
        <f>'C3C'!K61</f>
        <v>432870465.38774735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6532699838.8720646</v>
      </c>
      <c r="F21" s="73">
        <f t="shared" si="2"/>
        <v>462051425.96999997</v>
      </c>
      <c r="G21" s="73">
        <f t="shared" si="2"/>
        <v>2571416047.3500004</v>
      </c>
      <c r="H21" s="73">
        <f t="shared" si="2"/>
        <v>2721958266.1966934</v>
      </c>
      <c r="I21" s="73">
        <f t="shared" si="2"/>
        <v>-150542218.84669325</v>
      </c>
      <c r="J21" s="716">
        <f t="shared" si="1"/>
        <v>-5.5306585966522236E-2</v>
      </c>
      <c r="K21" s="145">
        <f>SUM(K6:K20)</f>
        <v>6532699838.8720646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187684680.20182845</v>
      </c>
      <c r="F24" s="44">
        <f>'C3C'!F174</f>
        <v>11295370.52</v>
      </c>
      <c r="G24" s="44">
        <f>'C3C'!G174</f>
        <v>60555367.090000004</v>
      </c>
      <c r="H24" s="44">
        <f>'C3C'!H174</f>
        <v>78201950.08409518</v>
      </c>
      <c r="I24" s="44">
        <f t="shared" ref="I24:I38" si="3">G24-H24</f>
        <v>-17646582.994095176</v>
      </c>
      <c r="J24" s="715">
        <f t="shared" ref="J24:J29" si="4">IF(I24=0,"",I24/H24)</f>
        <v>-0.22565400191579318</v>
      </c>
      <c r="K24" s="144">
        <f>'C3C'!K174</f>
        <v>187684680.20182845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701512353.70556009</v>
      </c>
      <c r="F25" s="44">
        <f>'C3C'!F185</f>
        <v>31280691.839999989</v>
      </c>
      <c r="G25" s="44">
        <f>'C3C'!G185</f>
        <v>136291967.29999995</v>
      </c>
      <c r="H25" s="44">
        <f>'C3C'!H185</f>
        <v>292296814.0439834</v>
      </c>
      <c r="I25" s="44">
        <f t="shared" si="3"/>
        <v>-156004846.74398345</v>
      </c>
      <c r="J25" s="715">
        <f t="shared" si="4"/>
        <v>-0.53372065396685642</v>
      </c>
      <c r="K25" s="144">
        <f>'C3C'!K185</f>
        <v>701512353.70556009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743751614.16259539</v>
      </c>
      <c r="F26" s="44">
        <f>'C3C'!F196</f>
        <v>63234903.939999998</v>
      </c>
      <c r="G26" s="44">
        <f>'C3C'!G196</f>
        <v>351296808.3599999</v>
      </c>
      <c r="H26" s="44">
        <f>'C3C'!H196</f>
        <v>309896505.90108144</v>
      </c>
      <c r="I26" s="44">
        <f t="shared" si="3"/>
        <v>41400302.458918452</v>
      </c>
      <c r="J26" s="715">
        <f t="shared" si="4"/>
        <v>0.13359396337347984</v>
      </c>
      <c r="K26" s="144">
        <f>'C3C'!K196</f>
        <v>743751614.16259539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200548953.39108872</v>
      </c>
      <c r="F27" s="44">
        <f>'C3C'!F207</f>
        <v>9179365.8100000005</v>
      </c>
      <c r="G27" s="44">
        <f>'C3C'!G207</f>
        <v>52279826.760000013</v>
      </c>
      <c r="H27" s="44">
        <f>'C3C'!H207</f>
        <v>83562063.912953615</v>
      </c>
      <c r="I27" s="44">
        <f t="shared" si="3"/>
        <v>-31282237.152953602</v>
      </c>
      <c r="J27" s="715">
        <f t="shared" si="4"/>
        <v>-0.37435931675335626</v>
      </c>
      <c r="K27" s="144">
        <f>'C3C'!K207</f>
        <v>200548953.39108872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3396225399.6151776</v>
      </c>
      <c r="F28" s="44">
        <f>'C3C'!F218</f>
        <v>305629914.60999995</v>
      </c>
      <c r="G28" s="44">
        <f>'C3C'!G218</f>
        <v>1612010287.1700008</v>
      </c>
      <c r="H28" s="44">
        <f>'C3C'!H218</f>
        <v>1415093916.5063243</v>
      </c>
      <c r="I28" s="44">
        <f t="shared" si="3"/>
        <v>196916370.6636765</v>
      </c>
      <c r="J28" s="715">
        <f t="shared" si="4"/>
        <v>0.13915427687643264</v>
      </c>
      <c r="K28" s="144">
        <f>'C3C'!K218</f>
        <v>3396225399.6151776</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281692261.08596432</v>
      </c>
      <c r="E29" s="44">
        <f>'C3C'!E229</f>
        <v>329805169.15482336</v>
      </c>
      <c r="F29" s="44">
        <f>'C3C'!F229</f>
        <v>18696732.299999993</v>
      </c>
      <c r="G29" s="44">
        <f>'C3C'!G229</f>
        <v>95196543.730000019</v>
      </c>
      <c r="H29" s="44">
        <f>'C3C'!H229</f>
        <v>137418820.48117641</v>
      </c>
      <c r="I29" s="44">
        <f t="shared" si="3"/>
        <v>-42222276.751176387</v>
      </c>
      <c r="J29" s="715">
        <f t="shared" si="4"/>
        <v>-0.30725250444832614</v>
      </c>
      <c r="K29" s="144">
        <f>'C3C'!K229</f>
        <v>329805169.15482336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5501964562.032732</v>
      </c>
      <c r="E39" s="430">
        <f t="shared" si="6"/>
        <v>5559528170.2310734</v>
      </c>
      <c r="F39" s="430">
        <f t="shared" si="6"/>
        <v>439316979.01999992</v>
      </c>
      <c r="G39" s="430">
        <f t="shared" si="6"/>
        <v>2307630800.4100008</v>
      </c>
      <c r="H39" s="430">
        <f t="shared" si="6"/>
        <v>2316470070.9296141</v>
      </c>
      <c r="I39" s="430">
        <f t="shared" si="6"/>
        <v>-8839270.5196136534</v>
      </c>
      <c r="J39" s="718">
        <f>IF(I39=0,"",I39/H39)</f>
        <v>-3.8158362719818771E-3</v>
      </c>
      <c r="K39" s="513">
        <f>SUM(K24:K38)</f>
        <v>5559528170.2310734</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941737276.83933258</v>
      </c>
      <c r="E40" s="55">
        <f t="shared" si="7"/>
        <v>973171668.64099121</v>
      </c>
      <c r="F40" s="55">
        <f t="shared" si="7"/>
        <v>22734446.950000048</v>
      </c>
      <c r="G40" s="55">
        <f t="shared" si="7"/>
        <v>263785246.93999958</v>
      </c>
      <c r="H40" s="55">
        <f t="shared" si="7"/>
        <v>405488195.26707935</v>
      </c>
      <c r="I40" s="55">
        <f>I21-I39</f>
        <v>-141702948.32707959</v>
      </c>
      <c r="J40" s="719">
        <f>IF(I40=0,"",I40/H40)</f>
        <v>-0.34946257371005673</v>
      </c>
      <c r="K40" s="235">
        <f>K21-K39</f>
        <v>973171668.64099121</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88" activePane="bottomRight" state="frozen"/>
      <selection pane="topRight"/>
      <selection pane="bottomLeft"/>
      <selection pane="bottomRight" activeCell="F230" sqref="F230:G234"/>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Monthly Budget Statement - Financial Performance (revenue and expenditure by municipal vote) - A - M05 November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38" t="str">
        <f>Head2</f>
        <v>Budget Year 2020/21</v>
      </c>
      <c r="E2" s="1039"/>
      <c r="F2" s="1039"/>
      <c r="G2" s="1039"/>
      <c r="H2" s="1039"/>
      <c r="I2" s="1039"/>
      <c r="J2" s="1039"/>
      <c r="K2" s="1040"/>
      <c r="L2" s="1049" t="e">
        <f>Head4</f>
        <v>#REF!</v>
      </c>
      <c r="M2" s="1050"/>
      <c r="N2" s="1050"/>
      <c r="O2" s="1050"/>
      <c r="P2" s="1050"/>
      <c r="Q2" s="1050"/>
      <c r="R2" s="1050"/>
      <c r="S2" s="1050"/>
      <c r="T2" s="1050"/>
      <c r="U2" s="1050"/>
      <c r="V2" s="1050"/>
      <c r="W2" s="1051"/>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0</v>
      </c>
      <c r="G6" s="441">
        <f t="shared" si="0"/>
        <v>0</v>
      </c>
      <c r="H6" s="443">
        <f t="shared" si="0"/>
        <v>1853137.5055833333</v>
      </c>
      <c r="I6" s="44">
        <f t="shared" ref="I6:I69" si="1">G6-H6</f>
        <v>-1853137.5055833333</v>
      </c>
      <c r="J6" s="330">
        <f t="shared" ref="J6:J69" si="2">IF(I6=0,"",I6/H6)</f>
        <v>-1</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c r="G8" s="741"/>
      <c r="H8" s="742">
        <f>E8/12*5</f>
        <v>1853137.5055833333</v>
      </c>
      <c r="I8" s="44">
        <f t="shared" si="1"/>
        <v>-1853137.5055833333</v>
      </c>
      <c r="J8" s="330">
        <f t="shared" si="2"/>
        <v>-1</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101303028.93000001</v>
      </c>
      <c r="G17" s="441">
        <f t="shared" si="3"/>
        <v>719723264.33000004</v>
      </c>
      <c r="H17" s="443">
        <f t="shared" si="3"/>
        <v>1035471644.0779722</v>
      </c>
      <c r="I17" s="44">
        <f t="shared" si="1"/>
        <v>-315748379.74797213</v>
      </c>
      <c r="J17" s="330">
        <f t="shared" si="2"/>
        <v>-0.30493194241849847</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790373.2100000002</v>
      </c>
      <c r="G18" s="741">
        <v>-1994332.6199999994</v>
      </c>
      <c r="H18" s="742"/>
      <c r="I18" s="44">
        <f t="shared" si="1"/>
        <v>-1994332.6199999994</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477135.67999999993</v>
      </c>
      <c r="G19" s="741">
        <v>150830200.56</v>
      </c>
      <c r="H19" s="742">
        <f>E19/12*5</f>
        <v>253162083.33333373</v>
      </c>
      <c r="I19" s="44">
        <f t="shared" si="1"/>
        <v>-102331882.77333373</v>
      </c>
      <c r="J19" s="330">
        <f t="shared" si="2"/>
        <v>-0.40421488647095416</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v>0</v>
      </c>
      <c r="G20" s="741">
        <v>0</v>
      </c>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100023075.45</v>
      </c>
      <c r="G21" s="741">
        <v>570830197.54999995</v>
      </c>
      <c r="H21" s="742">
        <f>E21/12*5</f>
        <v>782309560.74463844</v>
      </c>
      <c r="I21" s="44">
        <f t="shared" si="1"/>
        <v>-211479363.19463849</v>
      </c>
      <c r="J21" s="330">
        <f t="shared" si="2"/>
        <v>-0.27032695726400513</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12444.59</v>
      </c>
      <c r="G22" s="741">
        <v>57198.840000000004</v>
      </c>
      <c r="H22" s="742"/>
      <c r="I22" s="44">
        <f t="shared" si="1"/>
        <v>57198.840000000004</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f t="shared" si="4"/>
        <v>18437956.829999998</v>
      </c>
      <c r="G28" s="441">
        <f t="shared" si="4"/>
        <v>79077914.590000004</v>
      </c>
      <c r="H28" s="443">
        <f t="shared" si="4"/>
        <v>89443476.789913207</v>
      </c>
      <c r="I28" s="44">
        <f t="shared" si="1"/>
        <v>-10365562.199913204</v>
      </c>
      <c r="J28" s="330">
        <f t="shared" si="2"/>
        <v>-0.11588952679310603</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33504.679999999993</v>
      </c>
      <c r="G29" s="741">
        <v>75510.78</v>
      </c>
      <c r="H29" s="741">
        <f>E29/12*5</f>
        <v>1467995.1174166664</v>
      </c>
      <c r="I29" s="258">
        <f t="shared" si="1"/>
        <v>-1392484.3374166663</v>
      </c>
      <c r="J29" s="330">
        <f t="shared" si="2"/>
        <v>-0.94856196788114555</v>
      </c>
      <c r="K29" s="743">
        <f>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435805.29000000004</v>
      </c>
      <c r="G30" s="741">
        <v>824216.36</v>
      </c>
      <c r="H30" s="742">
        <f>E30/12*5</f>
        <v>2006055.777</v>
      </c>
      <c r="I30" s="44">
        <f t="shared" si="1"/>
        <v>-1181839.4169999999</v>
      </c>
      <c r="J30" s="330">
        <f t="shared" si="2"/>
        <v>-0.58913587077195206</v>
      </c>
      <c r="K30" s="743">
        <f>E30</f>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1900243.1099999999</v>
      </c>
      <c r="G31" s="741">
        <v>11712515.059999999</v>
      </c>
      <c r="H31" s="742">
        <f>E31/12*5</f>
        <v>9156689.4946951792</v>
      </c>
      <c r="I31" s="44">
        <f t="shared" si="1"/>
        <v>2555825.5653048195</v>
      </c>
      <c r="J31" s="330">
        <f t="shared" si="2"/>
        <v>0.27912113507676622</v>
      </c>
      <c r="K31" s="743">
        <f>E31</f>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16068403.749999996</v>
      </c>
      <c r="G32" s="741">
        <v>66465672.390000001</v>
      </c>
      <c r="H32" s="742">
        <f>E32/12*5</f>
        <v>76812736.400801361</v>
      </c>
      <c r="I32" s="44">
        <f t="shared" si="1"/>
        <v>-10347064.01080136</v>
      </c>
      <c r="J32" s="330">
        <f t="shared" si="2"/>
        <v>-0.13470505668241514</v>
      </c>
      <c r="K32" s="743">
        <f>E32</f>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5">SUM(C40:C49)</f>
        <v>0</v>
      </c>
      <c r="D39" s="444">
        <f t="shared" si="5"/>
        <v>19239180.686499998</v>
      </c>
      <c r="E39" s="441">
        <f t="shared" si="5"/>
        <v>19239180.686499998</v>
      </c>
      <c r="F39" s="443">
        <f t="shared" si="5"/>
        <v>0</v>
      </c>
      <c r="G39" s="441">
        <f t="shared" si="5"/>
        <v>396487.32</v>
      </c>
      <c r="H39" s="443">
        <f t="shared" si="5"/>
        <v>8016325.2860416668</v>
      </c>
      <c r="I39" s="44">
        <f t="shared" si="1"/>
        <v>-7619837.9660416665</v>
      </c>
      <c r="J39" s="330">
        <f t="shared" si="2"/>
        <v>-0.9505400160482036</v>
      </c>
      <c r="K39" s="442">
        <f t="shared" si="5"/>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c r="G40" s="741">
        <v>396429.06</v>
      </c>
      <c r="H40" s="742">
        <f>E40/12*5</f>
        <v>7908357.7670416664</v>
      </c>
      <c r="I40" s="44">
        <f t="shared" si="1"/>
        <v>-7511928.7070416668</v>
      </c>
      <c r="J40" s="330">
        <f t="shared" si="2"/>
        <v>-0.94987213885895116</v>
      </c>
      <c r="K40" s="743">
        <f>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c r="G41" s="741">
        <v>58.26</v>
      </c>
      <c r="H41" s="742">
        <f>E41/12*5</f>
        <v>840.00583333333327</v>
      </c>
      <c r="I41" s="44">
        <f t="shared" si="1"/>
        <v>-781.74583333333328</v>
      </c>
      <c r="J41" s="330">
        <f t="shared" si="2"/>
        <v>-0.93064333878633776</v>
      </c>
      <c r="K41" s="743">
        <f>E41</f>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c r="H42" s="742">
        <f>E42/12*5</f>
        <v>107127.51316666667</v>
      </c>
      <c r="I42" s="44">
        <f t="shared" si="1"/>
        <v>-107127.51316666667</v>
      </c>
      <c r="J42" s="330">
        <f t="shared" si="2"/>
        <v>-1</v>
      </c>
      <c r="K42" s="743">
        <f>E42</f>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c r="G44" s="741"/>
      <c r="H44" s="742"/>
      <c r="I44" s="44">
        <f t="shared" si="1"/>
        <v>0</v>
      </c>
      <c r="J44" s="330" t="str">
        <f t="shared" si="2"/>
        <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6">SUM(D51:D60)</f>
        <v>3376346372.7014918</v>
      </c>
      <c r="E50" s="441">
        <f t="shared" si="6"/>
        <v>3376346372.7014918</v>
      </c>
      <c r="F50" s="443">
        <f t="shared" si="6"/>
        <v>323355272.69</v>
      </c>
      <c r="G50" s="441">
        <f t="shared" si="6"/>
        <v>1717016541.6700001</v>
      </c>
      <c r="H50" s="443">
        <f t="shared" si="6"/>
        <v>1406810988.6256216</v>
      </c>
      <c r="I50" s="44">
        <f t="shared" si="1"/>
        <v>310205553.04437852</v>
      </c>
      <c r="J50" s="330">
        <f t="shared" si="2"/>
        <v>0.2205026514240073</v>
      </c>
      <c r="K50" s="442">
        <f t="shared" si="6"/>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180826446.78</v>
      </c>
      <c r="G51" s="741">
        <v>1024047706.3800001</v>
      </c>
      <c r="H51" s="742">
        <f>E51/12*5</f>
        <v>744794628.11952937</v>
      </c>
      <c r="I51" s="44">
        <f t="shared" si="1"/>
        <v>279253078.26047075</v>
      </c>
      <c r="J51" s="330">
        <f t="shared" si="2"/>
        <v>0.37493970514467034</v>
      </c>
      <c r="K51" s="743">
        <f>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560757.26</v>
      </c>
      <c r="G52" s="741">
        <v>3391162.4699999997</v>
      </c>
      <c r="H52" s="742">
        <f>E52/12*5</f>
        <v>8182376.3601250006</v>
      </c>
      <c r="I52" s="44">
        <f t="shared" si="1"/>
        <v>-4791213.8901250008</v>
      </c>
      <c r="J52" s="330">
        <f t="shared" si="2"/>
        <v>-0.58555286132692708</v>
      </c>
      <c r="K52" s="743">
        <f>E52</f>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26489411.489999998</v>
      </c>
      <c r="G53" s="741">
        <v>82441089.469999999</v>
      </c>
      <c r="H53" s="742">
        <f>E53/12*5</f>
        <v>27413666.564714666</v>
      </c>
      <c r="I53" s="44">
        <f t="shared" si="1"/>
        <v>55027422.905285329</v>
      </c>
      <c r="J53" s="330">
        <f t="shared" si="2"/>
        <v>2.0072989060176845</v>
      </c>
      <c r="K53" s="743">
        <f>E53</f>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115478657.16000001</v>
      </c>
      <c r="G54" s="741">
        <v>607136583.35000002</v>
      </c>
      <c r="H54" s="742">
        <f>E54/12*5</f>
        <v>626420317.58125257</v>
      </c>
      <c r="I54" s="44">
        <f t="shared" si="1"/>
        <v>-19283734.231252551</v>
      </c>
      <c r="J54" s="330">
        <f t="shared" si="2"/>
        <v>-3.0784017839190329E-2</v>
      </c>
      <c r="K54" s="743">
        <f>E54</f>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7">SUM(D62:D71)</f>
        <v>432870465.38774735</v>
      </c>
      <c r="E61" s="441">
        <f t="shared" si="7"/>
        <v>432870465.38774735</v>
      </c>
      <c r="F61" s="443">
        <f t="shared" si="7"/>
        <v>18955167.52</v>
      </c>
      <c r="G61" s="441">
        <f t="shared" si="7"/>
        <v>55201839.439999998</v>
      </c>
      <c r="H61" s="443">
        <f t="shared" si="7"/>
        <v>180362693.9115614</v>
      </c>
      <c r="I61" s="44">
        <f t="shared" si="1"/>
        <v>-125160854.4715614</v>
      </c>
      <c r="J61" s="330">
        <f t="shared" si="2"/>
        <v>-0.69393981514232905</v>
      </c>
      <c r="K61" s="442">
        <f t="shared" si="7"/>
        <v>432870465.38774735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c r="F62" s="742">
        <v>3520602.2399999998</v>
      </c>
      <c r="G62" s="741">
        <v>11918681.629999999</v>
      </c>
      <c r="H62" s="742"/>
      <c r="I62" s="44">
        <f t="shared" si="1"/>
        <v>11918681.629999999</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41022287.158399999</v>
      </c>
      <c r="F63" s="742">
        <v>28857.75</v>
      </c>
      <c r="G63" s="741">
        <v>75881.84</v>
      </c>
      <c r="H63" s="742">
        <f>E63/12*5</f>
        <v>17092619.649333332</v>
      </c>
      <c r="I63" s="44">
        <f t="shared" si="1"/>
        <v>-17016737.809333332</v>
      </c>
      <c r="J63" s="330">
        <f t="shared" si="2"/>
        <v>-0.99556054943263428</v>
      </c>
      <c r="K63" s="743">
        <f>E63</f>
        <v>41022287.158399999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328237277.54334736</v>
      </c>
      <c r="F64" s="742">
        <v>15177612.229999999</v>
      </c>
      <c r="G64" s="741">
        <v>43446966.670000002</v>
      </c>
      <c r="H64" s="742">
        <f>E64/12*5</f>
        <v>136765532.30972806</v>
      </c>
      <c r="I64" s="44">
        <f t="shared" si="1"/>
        <v>-93318565.639728054</v>
      </c>
      <c r="J64" s="330">
        <f t="shared" si="2"/>
        <v>-0.68232517406792825</v>
      </c>
      <c r="K64" s="743">
        <f>E64</f>
        <v>328237277.54334736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63610900.686000004</v>
      </c>
      <c r="F65" s="742">
        <v>228095.3</v>
      </c>
      <c r="G65" s="741">
        <v>-239690.69999999995</v>
      </c>
      <c r="H65" s="742">
        <f>E65/12*5</f>
        <v>26504541.952500004</v>
      </c>
      <c r="I65" s="44">
        <f t="shared" si="1"/>
        <v>-26744232.652500004</v>
      </c>
      <c r="J65" s="330">
        <f t="shared" si="2"/>
        <v>-1.0090433820901172</v>
      </c>
      <c r="K65" s="743">
        <f>E65</f>
        <v>63610900.686000004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8">G70-H70</f>
        <v>0</v>
      </c>
      <c r="J70" s="330" t="str">
        <f t="shared" ref="J70:J133" si="9">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8"/>
        <v>0</v>
      </c>
      <c r="J71" s="330" t="str">
        <f t="shared" si="9"/>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0">SUM(C73:C82)</f>
        <v>0</v>
      </c>
      <c r="D72" s="444">
        <f t="shared" si="10"/>
        <v>0</v>
      </c>
      <c r="E72" s="441">
        <f t="shared" si="10"/>
        <v>0</v>
      </c>
      <c r="F72" s="443">
        <f t="shared" si="10"/>
        <v>0</v>
      </c>
      <c r="G72" s="441">
        <f t="shared" si="10"/>
        <v>0</v>
      </c>
      <c r="H72" s="443">
        <f t="shared" si="10"/>
        <v>0</v>
      </c>
      <c r="I72" s="44">
        <f t="shared" si="8"/>
        <v>0</v>
      </c>
      <c r="J72" s="330" t="str">
        <f t="shared" si="9"/>
        <v/>
      </c>
      <c r="K72" s="442">
        <f t="shared" si="10"/>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8"/>
        <v>0</v>
      </c>
      <c r="J73" s="330" t="str">
        <f t="shared" si="9"/>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8"/>
        <v>0</v>
      </c>
      <c r="J74" s="330" t="str">
        <f t="shared" si="9"/>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8"/>
        <v>0</v>
      </c>
      <c r="J75" s="330" t="str">
        <f t="shared" si="9"/>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8"/>
        <v>0</v>
      </c>
      <c r="J76" s="330" t="str">
        <f t="shared" si="9"/>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8"/>
        <v>0</v>
      </c>
      <c r="J77" s="330" t="str">
        <f t="shared" si="9"/>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8"/>
        <v>0</v>
      </c>
      <c r="J78" s="330" t="str">
        <f t="shared" si="9"/>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8"/>
        <v>0</v>
      </c>
      <c r="J79" s="330" t="str">
        <f t="shared" si="9"/>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8"/>
        <v>0</v>
      </c>
      <c r="J80" s="330" t="str">
        <f t="shared" si="9"/>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8"/>
        <v>0</v>
      </c>
      <c r="J81" s="330" t="str">
        <f t="shared" si="9"/>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8"/>
        <v>0</v>
      </c>
      <c r="J82" s="330" t="str">
        <f t="shared" si="9"/>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1">SUM(D84:D93)</f>
        <v>0</v>
      </c>
      <c r="E83" s="441">
        <f t="shared" si="11"/>
        <v>0</v>
      </c>
      <c r="F83" s="443">
        <f t="shared" si="11"/>
        <v>0</v>
      </c>
      <c r="G83" s="441">
        <f t="shared" si="11"/>
        <v>0</v>
      </c>
      <c r="H83" s="443">
        <f t="shared" si="11"/>
        <v>0</v>
      </c>
      <c r="I83" s="44">
        <f t="shared" si="8"/>
        <v>0</v>
      </c>
      <c r="J83" s="330" t="str">
        <f t="shared" si="9"/>
        <v/>
      </c>
      <c r="K83" s="442">
        <f t="shared" si="11"/>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8"/>
        <v>0</v>
      </c>
      <c r="J84" s="330" t="str">
        <f t="shared" si="9"/>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8"/>
        <v>0</v>
      </c>
      <c r="J85" s="330" t="str">
        <f t="shared" si="9"/>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8"/>
        <v>0</v>
      </c>
      <c r="J86" s="330" t="str">
        <f t="shared" si="9"/>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8"/>
        <v>0</v>
      </c>
      <c r="J87" s="330" t="str">
        <f t="shared" si="9"/>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8"/>
        <v>0</v>
      </c>
      <c r="J88" s="330" t="str">
        <f t="shared" si="9"/>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8"/>
        <v>0</v>
      </c>
      <c r="J89" s="330" t="str">
        <f t="shared" si="9"/>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8"/>
        <v>0</v>
      </c>
      <c r="J90" s="330" t="str">
        <f t="shared" si="9"/>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8"/>
        <v>0</v>
      </c>
      <c r="J91" s="330" t="str">
        <f t="shared" si="9"/>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8"/>
        <v>0</v>
      </c>
      <c r="J92" s="330" t="str">
        <f t="shared" si="9"/>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8"/>
        <v>0</v>
      </c>
      <c r="J93" s="330" t="str">
        <f t="shared" si="9"/>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12">SUM(D95:D104)</f>
        <v>0</v>
      </c>
      <c r="E94" s="441">
        <f t="shared" si="12"/>
        <v>0</v>
      </c>
      <c r="F94" s="443">
        <f t="shared" si="12"/>
        <v>0</v>
      </c>
      <c r="G94" s="441">
        <f t="shared" si="12"/>
        <v>0</v>
      </c>
      <c r="H94" s="443">
        <f t="shared" si="12"/>
        <v>0</v>
      </c>
      <c r="I94" s="44">
        <f t="shared" si="8"/>
        <v>0</v>
      </c>
      <c r="J94" s="330" t="str">
        <f t="shared" si="9"/>
        <v/>
      </c>
      <c r="K94" s="442">
        <f t="shared" si="12"/>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8"/>
        <v>0</v>
      </c>
      <c r="J95" s="330" t="str">
        <f t="shared" si="9"/>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8"/>
        <v>0</v>
      </c>
      <c r="J96" s="330" t="str">
        <f t="shared" si="9"/>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8"/>
        <v>0</v>
      </c>
      <c r="J97" s="330" t="str">
        <f t="shared" si="9"/>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8"/>
        <v>0</v>
      </c>
      <c r="J98" s="330" t="str">
        <f t="shared" si="9"/>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8"/>
        <v>0</v>
      </c>
      <c r="J99" s="330" t="str">
        <f t="shared" si="9"/>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8"/>
        <v>0</v>
      </c>
      <c r="J100" s="330" t="str">
        <f t="shared" si="9"/>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8"/>
        <v>0</v>
      </c>
      <c r="J101" s="330" t="str">
        <f t="shared" si="9"/>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8"/>
        <v>0</v>
      </c>
      <c r="J102" s="330" t="str">
        <f t="shared" si="9"/>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8"/>
        <v>0</v>
      </c>
      <c r="J103" s="330" t="str">
        <f t="shared" si="9"/>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8"/>
        <v>0</v>
      </c>
      <c r="J104" s="330" t="str">
        <f t="shared" si="9"/>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13">SUM(D106:D115)</f>
        <v>0</v>
      </c>
      <c r="E105" s="441">
        <f t="shared" si="13"/>
        <v>0</v>
      </c>
      <c r="F105" s="443">
        <f t="shared" si="13"/>
        <v>0</v>
      </c>
      <c r="G105" s="441">
        <f t="shared" si="13"/>
        <v>0</v>
      </c>
      <c r="H105" s="443">
        <f t="shared" si="13"/>
        <v>0</v>
      </c>
      <c r="I105" s="44">
        <f t="shared" si="8"/>
        <v>0</v>
      </c>
      <c r="J105" s="330" t="str">
        <f t="shared" si="9"/>
        <v/>
      </c>
      <c r="K105" s="442">
        <f t="shared" si="13"/>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8"/>
        <v>0</v>
      </c>
      <c r="J106" s="330" t="str">
        <f t="shared" si="9"/>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8"/>
        <v>0</v>
      </c>
      <c r="J107" s="330" t="str">
        <f t="shared" si="9"/>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8"/>
        <v>0</v>
      </c>
      <c r="J108" s="330" t="str">
        <f t="shared" si="9"/>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8"/>
        <v>0</v>
      </c>
      <c r="J109" s="330" t="str">
        <f t="shared" si="9"/>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8"/>
        <v>0</v>
      </c>
      <c r="J110" s="330" t="str">
        <f t="shared" si="9"/>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8"/>
        <v>0</v>
      </c>
      <c r="J111" s="330" t="str">
        <f t="shared" si="9"/>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8"/>
        <v>0</v>
      </c>
      <c r="J112" s="330" t="str">
        <f t="shared" si="9"/>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8"/>
        <v>0</v>
      </c>
      <c r="J113" s="330" t="str">
        <f t="shared" si="9"/>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8"/>
        <v>0</v>
      </c>
      <c r="J114" s="330" t="str">
        <f t="shared" si="9"/>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8"/>
        <v>0</v>
      </c>
      <c r="J115" s="330" t="str">
        <f t="shared" si="9"/>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14">SUM(D117:D126)</f>
        <v>0</v>
      </c>
      <c r="E116" s="441">
        <f t="shared" si="14"/>
        <v>0</v>
      </c>
      <c r="F116" s="443">
        <f t="shared" si="14"/>
        <v>0</v>
      </c>
      <c r="G116" s="441">
        <f t="shared" si="14"/>
        <v>0</v>
      </c>
      <c r="H116" s="443">
        <f t="shared" si="14"/>
        <v>0</v>
      </c>
      <c r="I116" s="44">
        <f t="shared" si="8"/>
        <v>0</v>
      </c>
      <c r="J116" s="330" t="str">
        <f t="shared" si="9"/>
        <v/>
      </c>
      <c r="K116" s="442">
        <f t="shared" si="14"/>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8"/>
        <v>0</v>
      </c>
      <c r="J117" s="330" t="str">
        <f t="shared" si="9"/>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8"/>
        <v>0</v>
      </c>
      <c r="J118" s="330" t="str">
        <f t="shared" si="9"/>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8"/>
        <v>0</v>
      </c>
      <c r="J119" s="330" t="str">
        <f t="shared" si="9"/>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8"/>
        <v>0</v>
      </c>
      <c r="J120" s="330" t="str">
        <f t="shared" si="9"/>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8"/>
        <v>0</v>
      </c>
      <c r="J121" s="330" t="str">
        <f t="shared" si="9"/>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8"/>
        <v>0</v>
      </c>
      <c r="J122" s="330" t="str">
        <f t="shared" si="9"/>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8"/>
        <v>0</v>
      </c>
      <c r="J123" s="330" t="str">
        <f t="shared" si="9"/>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8"/>
        <v>0</v>
      </c>
      <c r="J124" s="330" t="str">
        <f t="shared" si="9"/>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8"/>
        <v>0</v>
      </c>
      <c r="J125" s="330" t="str">
        <f t="shared" si="9"/>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8"/>
        <v>0</v>
      </c>
      <c r="J126" s="330" t="str">
        <f t="shared" si="9"/>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15">SUM(D128:D137)</f>
        <v>0</v>
      </c>
      <c r="E127" s="441">
        <f t="shared" si="15"/>
        <v>0</v>
      </c>
      <c r="F127" s="443">
        <f t="shared" si="15"/>
        <v>0</v>
      </c>
      <c r="G127" s="441">
        <f t="shared" si="15"/>
        <v>0</v>
      </c>
      <c r="H127" s="443">
        <f t="shared" si="15"/>
        <v>0</v>
      </c>
      <c r="I127" s="44">
        <f t="shared" si="8"/>
        <v>0</v>
      </c>
      <c r="J127" s="330" t="str">
        <f t="shared" si="9"/>
        <v/>
      </c>
      <c r="K127" s="442">
        <f t="shared" si="15"/>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8"/>
        <v>0</v>
      </c>
      <c r="J128" s="330" t="str">
        <f t="shared" si="9"/>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8"/>
        <v>0</v>
      </c>
      <c r="J129" s="330" t="str">
        <f t="shared" si="9"/>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8"/>
        <v>0</v>
      </c>
      <c r="J130" s="330" t="str">
        <f t="shared" si="9"/>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8"/>
        <v>0</v>
      </c>
      <c r="J131" s="330" t="str">
        <f t="shared" si="9"/>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8"/>
        <v>0</v>
      </c>
      <c r="J132" s="330" t="str">
        <f t="shared" si="9"/>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8"/>
        <v>0</v>
      </c>
      <c r="J133" s="330" t="str">
        <f t="shared" si="9"/>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16">G134-H134</f>
        <v>0</v>
      </c>
      <c r="J134" s="330" t="str">
        <f t="shared" ref="J134:J197" si="17">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16"/>
        <v>0</v>
      </c>
      <c r="J135" s="330" t="str">
        <f t="shared" si="17"/>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16"/>
        <v>0</v>
      </c>
      <c r="J136" s="330" t="str">
        <f t="shared" si="17"/>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16"/>
        <v>0</v>
      </c>
      <c r="J137" s="330" t="str">
        <f t="shared" si="17"/>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18">SUM(D139:D148)</f>
        <v>0</v>
      </c>
      <c r="E138" s="441">
        <f t="shared" si="18"/>
        <v>0</v>
      </c>
      <c r="F138" s="443">
        <f t="shared" si="18"/>
        <v>0</v>
      </c>
      <c r="G138" s="441">
        <f t="shared" si="18"/>
        <v>0</v>
      </c>
      <c r="H138" s="443">
        <f t="shared" si="18"/>
        <v>0</v>
      </c>
      <c r="I138" s="44">
        <f t="shared" si="16"/>
        <v>0</v>
      </c>
      <c r="J138" s="330" t="str">
        <f t="shared" si="17"/>
        <v/>
      </c>
      <c r="K138" s="442">
        <f t="shared" si="18"/>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16"/>
        <v>0</v>
      </c>
      <c r="J139" s="330" t="str">
        <f t="shared" si="17"/>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16"/>
        <v>0</v>
      </c>
      <c r="J140" s="330" t="str">
        <f t="shared" si="17"/>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16"/>
        <v>0</v>
      </c>
      <c r="J141" s="330" t="str">
        <f t="shared" si="17"/>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16"/>
        <v>0</v>
      </c>
      <c r="J142" s="330" t="str">
        <f t="shared" si="17"/>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16"/>
        <v>0</v>
      </c>
      <c r="J143" s="330" t="str">
        <f t="shared" si="17"/>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16"/>
        <v>0</v>
      </c>
      <c r="J144" s="330" t="str">
        <f t="shared" si="17"/>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16"/>
        <v>0</v>
      </c>
      <c r="J145" s="330" t="str">
        <f t="shared" si="17"/>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16"/>
        <v>0</v>
      </c>
      <c r="J146" s="330" t="str">
        <f t="shared" si="17"/>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16"/>
        <v>0</v>
      </c>
      <c r="J147" s="330" t="str">
        <f t="shared" si="17"/>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16"/>
        <v>0</v>
      </c>
      <c r="J148" s="330" t="str">
        <f t="shared" si="17"/>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19">SUM(D150:D159)</f>
        <v>0</v>
      </c>
      <c r="E149" s="441">
        <f t="shared" si="19"/>
        <v>0</v>
      </c>
      <c r="F149" s="443">
        <f t="shared" si="19"/>
        <v>0</v>
      </c>
      <c r="G149" s="441">
        <f t="shared" si="19"/>
        <v>0</v>
      </c>
      <c r="H149" s="443">
        <f t="shared" si="19"/>
        <v>0</v>
      </c>
      <c r="I149" s="44">
        <f t="shared" si="16"/>
        <v>0</v>
      </c>
      <c r="J149" s="330" t="str">
        <f t="shared" si="17"/>
        <v/>
      </c>
      <c r="K149" s="442">
        <f t="shared" si="19"/>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16"/>
        <v>0</v>
      </c>
      <c r="J150" s="330" t="str">
        <f t="shared" si="17"/>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16"/>
        <v>0</v>
      </c>
      <c r="J151" s="330" t="str">
        <f t="shared" si="17"/>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16"/>
        <v>0</v>
      </c>
      <c r="J152" s="330" t="str">
        <f t="shared" si="17"/>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16"/>
        <v>0</v>
      </c>
      <c r="J153" s="330" t="str">
        <f t="shared" si="17"/>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16"/>
        <v>0</v>
      </c>
      <c r="J154" s="330" t="str">
        <f t="shared" si="17"/>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16"/>
        <v>0</v>
      </c>
      <c r="J155" s="330" t="str">
        <f t="shared" si="17"/>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16"/>
        <v>0</v>
      </c>
      <c r="J156" s="330" t="str">
        <f t="shared" si="17"/>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16"/>
        <v>0</v>
      </c>
      <c r="J157" s="330" t="str">
        <f t="shared" si="17"/>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16"/>
        <v>0</v>
      </c>
      <c r="J158" s="330" t="str">
        <f t="shared" si="17"/>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16"/>
        <v>0</v>
      </c>
      <c r="J159" s="330" t="str">
        <f t="shared" si="17"/>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0">SUM(D161:D170)</f>
        <v>0</v>
      </c>
      <c r="E160" s="441">
        <f t="shared" si="20"/>
        <v>0</v>
      </c>
      <c r="F160" s="443">
        <f t="shared" si="20"/>
        <v>0</v>
      </c>
      <c r="G160" s="441">
        <f t="shared" si="20"/>
        <v>0</v>
      </c>
      <c r="H160" s="443">
        <f t="shared" si="20"/>
        <v>0</v>
      </c>
      <c r="I160" s="44">
        <f t="shared" si="16"/>
        <v>0</v>
      </c>
      <c r="J160" s="330" t="str">
        <f t="shared" si="17"/>
        <v/>
      </c>
      <c r="K160" s="442">
        <f t="shared" si="20"/>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16"/>
        <v>0</v>
      </c>
      <c r="J161" s="330" t="str">
        <f t="shared" si="17"/>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16"/>
        <v>0</v>
      </c>
      <c r="J162" s="330" t="str">
        <f t="shared" si="17"/>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16"/>
        <v>0</v>
      </c>
      <c r="J163" s="330" t="str">
        <f t="shared" si="17"/>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16"/>
        <v>0</v>
      </c>
      <c r="J164" s="330" t="str">
        <f t="shared" si="17"/>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16"/>
        <v>0</v>
      </c>
      <c r="J165" s="330" t="str">
        <f t="shared" si="17"/>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16"/>
        <v>0</v>
      </c>
      <c r="J166" s="330" t="str">
        <f t="shared" si="17"/>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16"/>
        <v>0</v>
      </c>
      <c r="J167" s="330" t="str">
        <f t="shared" si="17"/>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16"/>
        <v>0</v>
      </c>
      <c r="J168" s="330" t="str">
        <f t="shared" si="17"/>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16"/>
        <v>0</v>
      </c>
      <c r="J169" s="330" t="str">
        <f t="shared" si="17"/>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16"/>
        <v>0</v>
      </c>
      <c r="J170" s="330" t="str">
        <f t="shared" si="17"/>
        <v/>
      </c>
      <c r="K170" s="743"/>
      <c r="L170" s="452">
        <f t="shared" ref="L170:W170" si="21">SUM(L78:L81)</f>
        <v>0</v>
      </c>
      <c r="M170" s="453">
        <f t="shared" si="21"/>
        <v>0</v>
      </c>
      <c r="N170" s="453">
        <f t="shared" si="21"/>
        <v>0</v>
      </c>
      <c r="O170" s="453">
        <f t="shared" si="21"/>
        <v>0</v>
      </c>
      <c r="P170" s="453">
        <f t="shared" si="21"/>
        <v>0</v>
      </c>
      <c r="Q170" s="453">
        <f t="shared" si="21"/>
        <v>0</v>
      </c>
      <c r="R170" s="453">
        <f t="shared" si="21"/>
        <v>0</v>
      </c>
      <c r="S170" s="453">
        <f t="shared" si="21"/>
        <v>0</v>
      </c>
      <c r="T170" s="453">
        <f t="shared" si="21"/>
        <v>0</v>
      </c>
      <c r="U170" s="453">
        <f t="shared" si="21"/>
        <v>0</v>
      </c>
      <c r="V170" s="453">
        <f t="shared" si="21"/>
        <v>0</v>
      </c>
      <c r="W170" s="453">
        <f t="shared" si="21"/>
        <v>0</v>
      </c>
    </row>
    <row r="171" spans="1:23" ht="12.75" customHeight="1" x14ac:dyDescent="0.25">
      <c r="A171" s="447" t="s">
        <v>635</v>
      </c>
      <c r="B171" s="415">
        <v>2</v>
      </c>
      <c r="C171" s="504">
        <f>C6+C17+C28+C39+C50+C61+C72+C83+C94+C105+C116+C127+C138+C149+C160</f>
        <v>0</v>
      </c>
      <c r="D171" s="451">
        <f t="shared" ref="D171:K171" si="22">D6+D17+D28+D39+D50+D61+D72+D83+D94+D105+D116+D127+D138+D149+D160</f>
        <v>6443701838.8720646</v>
      </c>
      <c r="E171" s="448">
        <f t="shared" si="22"/>
        <v>6532699838.8720646</v>
      </c>
      <c r="F171" s="450">
        <f t="shared" si="22"/>
        <v>462051425.96999997</v>
      </c>
      <c r="G171" s="448">
        <f t="shared" si="22"/>
        <v>2571416047.3500004</v>
      </c>
      <c r="H171" s="450">
        <f t="shared" si="22"/>
        <v>2721958266.1966934</v>
      </c>
      <c r="I171" s="514">
        <f t="shared" si="16"/>
        <v>-150542218.84669304</v>
      </c>
      <c r="J171" s="515">
        <f t="shared" si="17"/>
        <v>-5.5306585966522159E-2</v>
      </c>
      <c r="K171" s="449">
        <f t="shared" si="22"/>
        <v>6532699838.8720646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16"/>
        <v>0</v>
      </c>
      <c r="J172" s="133" t="str">
        <f t="shared" si="17"/>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16"/>
        <v>0</v>
      </c>
      <c r="J173" s="330" t="str">
        <f t="shared" si="17"/>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23">SUM(C175:C184)</f>
        <v>0</v>
      </c>
      <c r="D174" s="471">
        <f t="shared" si="23"/>
        <v>181805355.87582266</v>
      </c>
      <c r="E174" s="468">
        <f t="shared" si="23"/>
        <v>187684680.20182845</v>
      </c>
      <c r="F174" s="470">
        <f t="shared" si="23"/>
        <v>11295370.52</v>
      </c>
      <c r="G174" s="468">
        <f t="shared" si="23"/>
        <v>60555367.090000004</v>
      </c>
      <c r="H174" s="470">
        <f t="shared" si="23"/>
        <v>78201950.08409518</v>
      </c>
      <c r="I174" s="44">
        <f t="shared" si="16"/>
        <v>-17646582.994095176</v>
      </c>
      <c r="J174" s="330">
        <f t="shared" si="17"/>
        <v>-0.22565400191579318</v>
      </c>
      <c r="K174" s="469">
        <f t="shared" si="23"/>
        <v>187684680.20182845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19757657.663691994</v>
      </c>
      <c r="F175" s="746">
        <v>1102025.7600000002</v>
      </c>
      <c r="G175" s="733">
        <v>5332106.5800000019</v>
      </c>
      <c r="H175" s="746">
        <f>E175/12*5</f>
        <v>8232357.3598716641</v>
      </c>
      <c r="I175" s="44">
        <f t="shared" si="16"/>
        <v>-2900250.7798716621</v>
      </c>
      <c r="J175" s="330">
        <f t="shared" si="17"/>
        <v>-0.35229894100671971</v>
      </c>
      <c r="K175" s="747">
        <f>E175</f>
        <v>19757657.663691994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48206077.308161847</v>
      </c>
      <c r="F176" s="746">
        <v>3565042.35</v>
      </c>
      <c r="G176" s="733">
        <v>18079073.509999998</v>
      </c>
      <c r="H176" s="746">
        <f>E176/12*5</f>
        <v>20085865.545067437</v>
      </c>
      <c r="I176" s="44">
        <f t="shared" si="16"/>
        <v>-2006792.0350674391</v>
      </c>
      <c r="J176" s="330">
        <f t="shared" si="17"/>
        <v>-9.9910657599729613E-2</v>
      </c>
      <c r="K176" s="747">
        <f>E176</f>
        <v>48206077.308161847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106872334.4376146</v>
      </c>
      <c r="F177" s="746">
        <v>6005656.4999999991</v>
      </c>
      <c r="G177" s="733">
        <v>34359373.81000001</v>
      </c>
      <c r="H177" s="746">
        <f>E177/12*5</f>
        <v>44530139.349006087</v>
      </c>
      <c r="I177" s="44">
        <f t="shared" si="16"/>
        <v>-10170765.539006077</v>
      </c>
      <c r="J177" s="330">
        <f t="shared" si="17"/>
        <v>-0.22840183497501426</v>
      </c>
      <c r="K177" s="747">
        <f>E177</f>
        <v>106872334.4376146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12848610.792359998</v>
      </c>
      <c r="F178" s="746">
        <v>622645.91</v>
      </c>
      <c r="G178" s="733">
        <v>2784813.1899999995</v>
      </c>
      <c r="H178" s="746">
        <f>E178/12*5</f>
        <v>5353587.8301499989</v>
      </c>
      <c r="I178" s="44">
        <f t="shared" si="16"/>
        <v>-2568774.6401499994</v>
      </c>
      <c r="J178" s="330">
        <f t="shared" si="17"/>
        <v>-0.47982301246340558</v>
      </c>
      <c r="K178" s="747">
        <f>E178</f>
        <v>12848610.792359998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16"/>
        <v>0</v>
      </c>
      <c r="J179" s="330" t="str">
        <f t="shared" si="17"/>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16"/>
        <v>0</v>
      </c>
      <c r="J180" s="330" t="str">
        <f t="shared" si="17"/>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16"/>
        <v>0</v>
      </c>
      <c r="J181" s="330" t="str">
        <f t="shared" si="17"/>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16"/>
        <v>0</v>
      </c>
      <c r="J182" s="330" t="str">
        <f t="shared" si="17"/>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16"/>
        <v>0</v>
      </c>
      <c r="J183" s="330" t="str">
        <f t="shared" si="17"/>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16"/>
        <v>0</v>
      </c>
      <c r="J184" s="330" t="str">
        <f t="shared" si="17"/>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24">SUM(E186:E195)</f>
        <v>701512353.70556009</v>
      </c>
      <c r="F185" s="443">
        <f t="shared" si="24"/>
        <v>31280691.839999989</v>
      </c>
      <c r="G185" s="441">
        <f t="shared" si="24"/>
        <v>136291967.29999995</v>
      </c>
      <c r="H185" s="443">
        <f t="shared" si="24"/>
        <v>292296814.0439834</v>
      </c>
      <c r="I185" s="44">
        <f t="shared" si="16"/>
        <v>-156004846.74398345</v>
      </c>
      <c r="J185" s="330">
        <f t="shared" si="17"/>
        <v>-0.53372065396685642</v>
      </c>
      <c r="K185" s="442">
        <f t="shared" si="24"/>
        <v>701512353.70556009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94584991.874728531</v>
      </c>
      <c r="F186" s="746">
        <v>3809372.6399999983</v>
      </c>
      <c r="G186" s="733">
        <v>33953854.700000003</v>
      </c>
      <c r="H186" s="746">
        <f>E186/12*5</f>
        <v>39410413.281136885</v>
      </c>
      <c r="I186" s="44">
        <f t="shared" si="16"/>
        <v>-5456558.5811368823</v>
      </c>
      <c r="J186" s="330">
        <f t="shared" si="17"/>
        <v>-0.13845474144643313</v>
      </c>
      <c r="K186" s="747">
        <f>E186</f>
        <v>94584991.874728531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45201053.790604897</v>
      </c>
      <c r="F187" s="746">
        <v>8246029.9399999985</v>
      </c>
      <c r="G187" s="733">
        <v>31953765.449999988</v>
      </c>
      <c r="H187" s="746">
        <f>E187/12*5</f>
        <v>18833772.41275204</v>
      </c>
      <c r="I187" s="44">
        <f t="shared" si="16"/>
        <v>13119993.037247948</v>
      </c>
      <c r="J187" s="330">
        <f t="shared" si="17"/>
        <v>0.69662055746009843</v>
      </c>
      <c r="K187" s="747">
        <f>E187</f>
        <v>45201053.790604897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457585622.91509426</v>
      </c>
      <c r="F188" s="746">
        <v>10149660.799999993</v>
      </c>
      <c r="G188" s="733">
        <v>15803825.229999993</v>
      </c>
      <c r="H188" s="746">
        <f>E188/12*5</f>
        <v>190660676.21462259</v>
      </c>
      <c r="I188" s="44">
        <f t="shared" si="16"/>
        <v>-174856850.9846226</v>
      </c>
      <c r="J188" s="330">
        <f t="shared" si="17"/>
        <v>-0.91711020046834424</v>
      </c>
      <c r="K188" s="747">
        <f>E188</f>
        <v>457585622.91509426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22239285.456538409</v>
      </c>
      <c r="F189" s="746">
        <v>5974979.2400000021</v>
      </c>
      <c r="G189" s="733">
        <v>37848136.609999977</v>
      </c>
      <c r="H189" s="746">
        <f>E189/12*5</f>
        <v>9266368.9402243365</v>
      </c>
      <c r="I189" s="44">
        <f t="shared" si="16"/>
        <v>28581767.669775642</v>
      </c>
      <c r="J189" s="330">
        <f t="shared" si="17"/>
        <v>3.0844625175353406</v>
      </c>
      <c r="K189" s="747">
        <f>E189</f>
        <v>22239285.456538409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81901399.668594033</v>
      </c>
      <c r="F190" s="746">
        <v>3100649.2200000007</v>
      </c>
      <c r="G190" s="733">
        <v>16732385.309999999</v>
      </c>
      <c r="H190" s="746">
        <f>E190/12*5</f>
        <v>34125583.195247516</v>
      </c>
      <c r="I190" s="44">
        <f t="shared" si="16"/>
        <v>-17393197.885247517</v>
      </c>
      <c r="J190" s="330">
        <f t="shared" si="17"/>
        <v>-0.50968207006846911</v>
      </c>
      <c r="K190" s="747">
        <f>E190</f>
        <v>81901399.668594033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16"/>
        <v>0</v>
      </c>
      <c r="J191" s="330" t="str">
        <f t="shared" si="17"/>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16"/>
        <v>0</v>
      </c>
      <c r="J192" s="330" t="str">
        <f t="shared" si="17"/>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16"/>
        <v>0</v>
      </c>
      <c r="J193" s="330" t="str">
        <f t="shared" si="17"/>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16"/>
        <v>0</v>
      </c>
      <c r="J194" s="330" t="str">
        <f t="shared" si="17"/>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16"/>
        <v>0</v>
      </c>
      <c r="J195" s="330" t="str">
        <f t="shared" si="17"/>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25">SUM(C197:C206)</f>
        <v>0</v>
      </c>
      <c r="D196" s="444">
        <f t="shared" si="25"/>
        <v>743751614.16259539</v>
      </c>
      <c r="E196" s="441">
        <f t="shared" si="25"/>
        <v>743751614.16259539</v>
      </c>
      <c r="F196" s="443">
        <f t="shared" si="25"/>
        <v>63234903.939999998</v>
      </c>
      <c r="G196" s="441">
        <f t="shared" si="25"/>
        <v>351296808.3599999</v>
      </c>
      <c r="H196" s="443">
        <f t="shared" si="25"/>
        <v>309896505.90108144</v>
      </c>
      <c r="I196" s="44">
        <f t="shared" si="16"/>
        <v>41400302.458918452</v>
      </c>
      <c r="J196" s="330">
        <f t="shared" si="17"/>
        <v>0.13359396337347984</v>
      </c>
      <c r="K196" s="442">
        <f t="shared" si="25"/>
        <v>743751614.16259539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c r="F197" s="746">
        <v>2830325.2000000007</v>
      </c>
      <c r="G197" s="733">
        <v>15933886.15</v>
      </c>
      <c r="H197" s="746"/>
      <c r="I197" s="44">
        <f t="shared" si="16"/>
        <v>15933886.15</v>
      </c>
      <c r="J197" s="330" t="e">
        <f t="shared" si="17"/>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743751614.16259539</v>
      </c>
      <c r="F198" s="746">
        <v>27355830.700000003</v>
      </c>
      <c r="G198" s="733">
        <v>150682668.78999996</v>
      </c>
      <c r="H198" s="746">
        <f>E198/12*5</f>
        <v>309896505.90108144</v>
      </c>
      <c r="I198" s="44">
        <f>G198-H198</f>
        <v>-159213837.11108148</v>
      </c>
      <c r="J198" s="330">
        <f t="shared" ref="J198:J261" si="26">IF(I198=0,"",I198/H198)</f>
        <v>-0.51376454422465268</v>
      </c>
      <c r="K198" s="747">
        <f>E198</f>
        <v>743751614.16259539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c r="F199" s="746">
        <v>23759437.459999993</v>
      </c>
      <c r="G199" s="733">
        <v>132623854.94999994</v>
      </c>
      <c r="H199" s="746"/>
      <c r="I199" s="44">
        <f t="shared" ref="I199:I261" si="27">G199-H199</f>
        <v>132623854.94999994</v>
      </c>
      <c r="J199" s="330" t="e">
        <f t="shared" si="26"/>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c r="F200" s="746">
        <v>9289310.5800000019</v>
      </c>
      <c r="G200" s="733">
        <v>52056398.469999969</v>
      </c>
      <c r="H200" s="746"/>
      <c r="I200" s="44">
        <f t="shared" si="27"/>
        <v>52056398.469999969</v>
      </c>
      <c r="J200" s="330" t="e">
        <f t="shared" si="26"/>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27"/>
        <v>0</v>
      </c>
      <c r="J201" s="330" t="str">
        <f t="shared" si="26"/>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27"/>
        <v>0</v>
      </c>
      <c r="J202" s="330" t="str">
        <f t="shared" si="26"/>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27"/>
        <v>0</v>
      </c>
      <c r="J203" s="330" t="str">
        <f t="shared" si="26"/>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27"/>
        <v>0</v>
      </c>
      <c r="J204" s="330" t="str">
        <f t="shared" si="26"/>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27"/>
        <v>0</v>
      </c>
      <c r="J205" s="330" t="str">
        <f t="shared" si="26"/>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27"/>
        <v>0</v>
      </c>
      <c r="J206" s="330" t="str">
        <f t="shared" si="26"/>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28">SUM(C208:C217)</f>
        <v>0</v>
      </c>
      <c r="D207" s="444">
        <f t="shared" si="28"/>
        <v>200548950.39124021</v>
      </c>
      <c r="E207" s="441">
        <f t="shared" si="28"/>
        <v>200548953.39108872</v>
      </c>
      <c r="F207" s="443">
        <f t="shared" si="28"/>
        <v>9179365.8100000005</v>
      </c>
      <c r="G207" s="441">
        <f t="shared" si="28"/>
        <v>52279826.760000013</v>
      </c>
      <c r="H207" s="443">
        <f t="shared" si="28"/>
        <v>83562063.912953615</v>
      </c>
      <c r="I207" s="44">
        <f t="shared" si="27"/>
        <v>-31282237.152953602</v>
      </c>
      <c r="J207" s="330">
        <f t="shared" si="26"/>
        <v>-0.37435931675335626</v>
      </c>
      <c r="K207" s="442">
        <f t="shared" si="28"/>
        <v>200548953.39108872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37102236.057872109</v>
      </c>
      <c r="F208" s="472">
        <v>4017763.86</v>
      </c>
      <c r="G208" s="384">
        <v>23752331.240000013</v>
      </c>
      <c r="H208" s="472">
        <f>E208/12*5</f>
        <v>15459265.024113378</v>
      </c>
      <c r="I208" s="44">
        <f t="shared" si="27"/>
        <v>8293066.2158866357</v>
      </c>
      <c r="J208" s="330">
        <f t="shared" si="26"/>
        <v>0.53644634482629683</v>
      </c>
      <c r="K208" s="395">
        <f>E208</f>
        <v>37102236.057872109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4306177.4291027384</v>
      </c>
      <c r="F209" s="472">
        <v>2121717.8400000003</v>
      </c>
      <c r="G209" s="384">
        <v>11847781.430000003</v>
      </c>
      <c r="H209" s="472">
        <f>E209/12*5</f>
        <v>1794240.5954594745</v>
      </c>
      <c r="I209" s="44">
        <f t="shared" si="27"/>
        <v>10053540.834540529</v>
      </c>
      <c r="J209" s="330">
        <f t="shared" si="26"/>
        <v>5.6032289426413229</v>
      </c>
      <c r="K209" s="395">
        <f>E209</f>
        <v>4306177.4291027384</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117626955.29173322</v>
      </c>
      <c r="F210" s="472">
        <v>964396.14</v>
      </c>
      <c r="G210" s="384">
        <v>4620009.6800000006</v>
      </c>
      <c r="H210" s="472">
        <f>E210/12*5</f>
        <v>49011231.371555507</v>
      </c>
      <c r="I210" s="44">
        <f t="shared" si="27"/>
        <v>-44391221.691555507</v>
      </c>
      <c r="J210" s="330">
        <f t="shared" si="26"/>
        <v>-0.90573569464158987</v>
      </c>
      <c r="K210" s="395">
        <f>E210</f>
        <v>117626955.29173322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30502399.44295308</v>
      </c>
      <c r="F211" s="472">
        <v>1845401.4000000001</v>
      </c>
      <c r="G211" s="384">
        <v>10807946.399999999</v>
      </c>
      <c r="H211" s="472">
        <f>E211/12*5</f>
        <v>12709333.10123045</v>
      </c>
      <c r="I211" s="44">
        <f t="shared" si="27"/>
        <v>-1901386.7012304515</v>
      </c>
      <c r="J211" s="330">
        <f t="shared" si="26"/>
        <v>-0.14960554468797183</v>
      </c>
      <c r="K211" s="395">
        <f>E211</f>
        <v>30502399.44295308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11011185.169427564</v>
      </c>
      <c r="F212" s="472">
        <v>230086.57</v>
      </c>
      <c r="G212" s="384">
        <v>1251758.01</v>
      </c>
      <c r="H212" s="472">
        <f>E212/12*5</f>
        <v>4587993.8205948183</v>
      </c>
      <c r="I212" s="44">
        <f t="shared" si="27"/>
        <v>-3336235.8105948186</v>
      </c>
      <c r="J212" s="330">
        <f t="shared" si="26"/>
        <v>-0.72716658763116782</v>
      </c>
      <c r="K212" s="395">
        <f>E212</f>
        <v>11011185.169427564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27"/>
        <v>0</v>
      </c>
      <c r="J213" s="330" t="str">
        <f t="shared" si="26"/>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27"/>
        <v>0</v>
      </c>
      <c r="J214" s="330" t="str">
        <f t="shared" si="26"/>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27"/>
        <v>0</v>
      </c>
      <c r="J215" s="330" t="str">
        <f t="shared" si="26"/>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27"/>
        <v>0</v>
      </c>
      <c r="J216" s="330" t="str">
        <f t="shared" si="26"/>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27"/>
        <v>0</v>
      </c>
      <c r="J217" s="330" t="str">
        <f t="shared" si="26"/>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29">SUM(C219:C228)</f>
        <v>0</v>
      </c>
      <c r="D218" s="444">
        <f t="shared" si="29"/>
        <v>3393288719.277081</v>
      </c>
      <c r="E218" s="441">
        <f t="shared" si="29"/>
        <v>3396225399.6151776</v>
      </c>
      <c r="F218" s="443">
        <f t="shared" si="29"/>
        <v>305629914.60999995</v>
      </c>
      <c r="G218" s="441">
        <f t="shared" si="29"/>
        <v>1612010287.1700008</v>
      </c>
      <c r="H218" s="443">
        <f t="shared" si="29"/>
        <v>1415093916.5063243</v>
      </c>
      <c r="I218" s="44">
        <f t="shared" si="27"/>
        <v>196916370.6636765</v>
      </c>
      <c r="J218" s="330">
        <f t="shared" si="26"/>
        <v>0.13915427687643264</v>
      </c>
      <c r="K218" s="442">
        <f t="shared" si="29"/>
        <v>3396225399.6151776</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1955147194.4755206</v>
      </c>
      <c r="F219" s="472">
        <v>194362829.66</v>
      </c>
      <c r="G219" s="384">
        <v>1043281515.0900007</v>
      </c>
      <c r="H219" s="472">
        <f>E219/12*5</f>
        <v>814644664.36480033</v>
      </c>
      <c r="I219" s="44">
        <f t="shared" si="27"/>
        <v>228636850.72520041</v>
      </c>
      <c r="J219" s="330">
        <f t="shared" si="26"/>
        <v>0.28065837870978327</v>
      </c>
      <c r="K219" s="395">
        <f>E219</f>
        <v>1955147194.4755206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1106304.29</v>
      </c>
      <c r="G220" s="384">
        <v>5773563.3500000006</v>
      </c>
      <c r="H220" s="472">
        <f>E220/12*5</f>
        <v>23551102.834314056</v>
      </c>
      <c r="I220" s="44">
        <f t="shared" si="27"/>
        <v>-17777539.484314054</v>
      </c>
      <c r="J220" s="330">
        <f t="shared" si="26"/>
        <v>-0.75484955457848468</v>
      </c>
      <c r="K220" s="395">
        <f>E220</f>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97499418.257450104</v>
      </c>
      <c r="F221" s="472">
        <v>21195751.529999994</v>
      </c>
      <c r="G221" s="384">
        <v>110400565.94000006</v>
      </c>
      <c r="H221" s="472">
        <f>E221/12*5</f>
        <v>40624757.607270874</v>
      </c>
      <c r="I221" s="44">
        <f t="shared" si="27"/>
        <v>69775808.332729191</v>
      </c>
      <c r="J221" s="330">
        <f t="shared" si="26"/>
        <v>1.7175686069876013</v>
      </c>
      <c r="K221" s="395">
        <f>E221</f>
        <v>97499418.257450104</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1266789806.54597</v>
      </c>
      <c r="F222" s="472">
        <v>88769308.819999993</v>
      </c>
      <c r="G222" s="384">
        <v>451979433.8599999</v>
      </c>
      <c r="H222" s="472">
        <f>E222/12*5</f>
        <v>527829086.06082082</v>
      </c>
      <c r="I222" s="44">
        <f t="shared" si="27"/>
        <v>-75849652.200820923</v>
      </c>
      <c r="J222" s="330">
        <f t="shared" si="26"/>
        <v>-0.14370116047769466</v>
      </c>
      <c r="K222" s="395">
        <f>E222</f>
        <v>1266789806.54597</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20266333.533883527</v>
      </c>
      <c r="F223" s="472">
        <v>195720.31000000003</v>
      </c>
      <c r="G223" s="384">
        <v>575208.93000000005</v>
      </c>
      <c r="H223" s="472">
        <f>E223/12*5</f>
        <v>8444305.6391181368</v>
      </c>
      <c r="I223" s="44">
        <f t="shared" si="27"/>
        <v>-7869096.7091181371</v>
      </c>
      <c r="J223" s="330">
        <f t="shared" si="26"/>
        <v>-0.93188203333908803</v>
      </c>
      <c r="K223" s="395">
        <f>E223</f>
        <v>20266333.533883527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27"/>
        <v>0</v>
      </c>
      <c r="J224" s="330" t="str">
        <f t="shared" si="26"/>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27"/>
        <v>0</v>
      </c>
      <c r="J225" s="330" t="str">
        <f t="shared" si="26"/>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27"/>
        <v>0</v>
      </c>
      <c r="J226" s="330" t="str">
        <f t="shared" si="26"/>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27"/>
        <v>0</v>
      </c>
      <c r="J227" s="330" t="str">
        <f t="shared" si="26"/>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27"/>
        <v>0</v>
      </c>
      <c r="J228" s="330" t="str">
        <f t="shared" si="26"/>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30">SUM(C230:C239)</f>
        <v>0</v>
      </c>
      <c r="D229" s="444">
        <f t="shared" si="30"/>
        <v>281692261.08596432</v>
      </c>
      <c r="E229" s="441">
        <f t="shared" si="30"/>
        <v>329805169.15482336</v>
      </c>
      <c r="F229" s="443">
        <f t="shared" si="30"/>
        <v>18696732.299999993</v>
      </c>
      <c r="G229" s="441">
        <f t="shared" si="30"/>
        <v>95196543.730000019</v>
      </c>
      <c r="H229" s="443">
        <f t="shared" si="30"/>
        <v>137418820.48117641</v>
      </c>
      <c r="I229" s="44">
        <f t="shared" si="27"/>
        <v>-42222276.751176387</v>
      </c>
      <c r="J229" s="330">
        <f t="shared" si="26"/>
        <v>-0.30725250444832614</v>
      </c>
      <c r="K229" s="442">
        <f t="shared" si="30"/>
        <v>329805169.15482336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281692261.08596432</v>
      </c>
      <c r="E230" s="384">
        <v>329805169.15482336</v>
      </c>
      <c r="F230" s="472">
        <v>7461487.799999997</v>
      </c>
      <c r="G230" s="384">
        <v>32080136.269999992</v>
      </c>
      <c r="H230" s="472">
        <f>E230/12*5</f>
        <v>137418820.48117641</v>
      </c>
      <c r="I230" s="44">
        <f t="shared" si="27"/>
        <v>-105338684.21117641</v>
      </c>
      <c r="J230" s="330">
        <f t="shared" si="26"/>
        <v>-0.76655209120795553</v>
      </c>
      <c r="K230" s="395">
        <f>E230</f>
        <v>329805169.15482336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c r="F231" s="472">
        <v>725136.58000000007</v>
      </c>
      <c r="G231" s="384">
        <v>4310832.1400000006</v>
      </c>
      <c r="H231" s="742"/>
      <c r="I231" s="44">
        <f t="shared" si="27"/>
        <v>4310832.1400000006</v>
      </c>
      <c r="J231" s="330" t="e">
        <f t="shared" si="26"/>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c r="F232" s="472">
        <v>4494104.37</v>
      </c>
      <c r="G232" s="384">
        <v>25604470.910000004</v>
      </c>
      <c r="H232" s="742"/>
      <c r="I232" s="44">
        <f t="shared" si="27"/>
        <v>25604470.910000004</v>
      </c>
      <c r="J232" s="330" t="e">
        <f t="shared" si="26"/>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c r="F233" s="472">
        <v>5769786.0899999971</v>
      </c>
      <c r="G233" s="384">
        <v>32343925.760000017</v>
      </c>
      <c r="H233" s="742"/>
      <c r="I233" s="44">
        <f t="shared" si="27"/>
        <v>32343925.760000017</v>
      </c>
      <c r="J233" s="330" t="e">
        <f t="shared" si="26"/>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c r="F234" s="472">
        <v>246217.45999999996</v>
      </c>
      <c r="G234" s="384">
        <v>857178.64999999991</v>
      </c>
      <c r="H234" s="742"/>
      <c r="I234" s="44">
        <f t="shared" si="27"/>
        <v>857178.64999999991</v>
      </c>
      <c r="J234" s="330" t="e">
        <f t="shared" si="26"/>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27"/>
        <v>0</v>
      </c>
      <c r="J235" s="330" t="str">
        <f t="shared" si="26"/>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27"/>
        <v>0</v>
      </c>
      <c r="J236" s="330" t="str">
        <f t="shared" si="26"/>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27"/>
        <v>0</v>
      </c>
      <c r="J237" s="330" t="str">
        <f t="shared" si="26"/>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27"/>
        <v>0</v>
      </c>
      <c r="J238" s="330" t="str">
        <f t="shared" si="26"/>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27"/>
        <v>0</v>
      </c>
      <c r="J239" s="330" t="str">
        <f t="shared" si="26"/>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31">SUM(C241:C250)</f>
        <v>0</v>
      </c>
      <c r="D240" s="444">
        <f t="shared" si="31"/>
        <v>0</v>
      </c>
      <c r="E240" s="441">
        <f t="shared" si="31"/>
        <v>0</v>
      </c>
      <c r="F240" s="443">
        <f t="shared" si="31"/>
        <v>0</v>
      </c>
      <c r="G240" s="441">
        <f t="shared" si="31"/>
        <v>0</v>
      </c>
      <c r="H240" s="443">
        <f t="shared" si="31"/>
        <v>0</v>
      </c>
      <c r="I240" s="44">
        <f t="shared" si="27"/>
        <v>0</v>
      </c>
      <c r="J240" s="330" t="str">
        <f t="shared" si="26"/>
        <v/>
      </c>
      <c r="K240" s="442">
        <f t="shared" si="31"/>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27"/>
        <v>0</v>
      </c>
      <c r="J241" s="330" t="str">
        <f t="shared" si="26"/>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27"/>
        <v>0</v>
      </c>
      <c r="J242" s="330" t="str">
        <f t="shared" si="26"/>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27"/>
        <v>0</v>
      </c>
      <c r="J243" s="330" t="str">
        <f t="shared" si="26"/>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27"/>
        <v>0</v>
      </c>
      <c r="J244" s="330" t="str">
        <f t="shared" si="26"/>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27"/>
        <v>0</v>
      </c>
      <c r="J245" s="330" t="str">
        <f t="shared" si="26"/>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27"/>
        <v>0</v>
      </c>
      <c r="J246" s="330" t="str">
        <f t="shared" si="26"/>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27"/>
        <v>0</v>
      </c>
      <c r="J247" s="330" t="str">
        <f t="shared" si="26"/>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27"/>
        <v>0</v>
      </c>
      <c r="J248" s="330" t="str">
        <f t="shared" si="26"/>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27"/>
        <v>0</v>
      </c>
      <c r="J249" s="330" t="str">
        <f t="shared" si="26"/>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27"/>
        <v>0</v>
      </c>
      <c r="J250" s="330" t="str">
        <f t="shared" si="26"/>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32">SUM(C252:C261)</f>
        <v>0</v>
      </c>
      <c r="D251" s="444">
        <f t="shared" si="32"/>
        <v>0</v>
      </c>
      <c r="E251" s="441">
        <f t="shared" si="32"/>
        <v>0</v>
      </c>
      <c r="F251" s="443">
        <f t="shared" si="32"/>
        <v>0</v>
      </c>
      <c r="G251" s="441">
        <f t="shared" si="32"/>
        <v>0</v>
      </c>
      <c r="H251" s="443">
        <f t="shared" si="32"/>
        <v>0</v>
      </c>
      <c r="I251" s="44">
        <f t="shared" si="27"/>
        <v>0</v>
      </c>
      <c r="J251" s="330" t="str">
        <f t="shared" si="26"/>
        <v/>
      </c>
      <c r="K251" s="442">
        <f t="shared" si="32"/>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27"/>
        <v>0</v>
      </c>
      <c r="J252" s="330" t="str">
        <f t="shared" si="26"/>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27"/>
        <v>0</v>
      </c>
      <c r="J253" s="330" t="str">
        <f t="shared" si="26"/>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27"/>
        <v>0</v>
      </c>
      <c r="J254" s="330" t="str">
        <f t="shared" si="26"/>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27"/>
        <v>0</v>
      </c>
      <c r="J255" s="330" t="str">
        <f t="shared" si="26"/>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27"/>
        <v>0</v>
      </c>
      <c r="J256" s="330" t="str">
        <f t="shared" si="26"/>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27"/>
        <v>0</v>
      </c>
      <c r="J257" s="330" t="str">
        <f t="shared" si="26"/>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27"/>
        <v>0</v>
      </c>
      <c r="J258" s="330" t="str">
        <f t="shared" si="26"/>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27"/>
        <v>0</v>
      </c>
      <c r="J259" s="330" t="str">
        <f t="shared" si="26"/>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27"/>
        <v>0</v>
      </c>
      <c r="J260" s="330" t="str">
        <f t="shared" si="26"/>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27"/>
        <v>0</v>
      </c>
      <c r="J261" s="330" t="str">
        <f t="shared" si="26"/>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33">SUM(C263:C272)</f>
        <v>0</v>
      </c>
      <c r="D262" s="444">
        <f t="shared" si="33"/>
        <v>0</v>
      </c>
      <c r="E262" s="441">
        <f t="shared" si="33"/>
        <v>0</v>
      </c>
      <c r="F262" s="443">
        <f t="shared" si="33"/>
        <v>0</v>
      </c>
      <c r="G262" s="441">
        <f t="shared" si="33"/>
        <v>0</v>
      </c>
      <c r="H262" s="443">
        <f t="shared" si="33"/>
        <v>0</v>
      </c>
      <c r="I262" s="44">
        <f t="shared" ref="I262:I325" si="34">G262-H262</f>
        <v>0</v>
      </c>
      <c r="J262" s="330" t="str">
        <f t="shared" ref="J262:J325" si="35">IF(I262=0,"",I262/H262)</f>
        <v/>
      </c>
      <c r="K262" s="442">
        <f t="shared" si="33"/>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34"/>
        <v>0</v>
      </c>
      <c r="J263" s="330" t="str">
        <f t="shared" si="35"/>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34"/>
        <v>0</v>
      </c>
      <c r="J264" s="330" t="str">
        <f t="shared" si="35"/>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34"/>
        <v>0</v>
      </c>
      <c r="J265" s="330" t="str">
        <f t="shared" si="35"/>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34"/>
        <v>0</v>
      </c>
      <c r="J266" s="330" t="str">
        <f t="shared" si="35"/>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34"/>
        <v>0</v>
      </c>
      <c r="J267" s="330" t="str">
        <f t="shared" si="35"/>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34"/>
        <v>0</v>
      </c>
      <c r="J268" s="330" t="str">
        <f t="shared" si="35"/>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34"/>
        <v>0</v>
      </c>
      <c r="J269" s="330" t="str">
        <f t="shared" si="35"/>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34"/>
        <v>0</v>
      </c>
      <c r="J270" s="330" t="str">
        <f t="shared" si="35"/>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34"/>
        <v>0</v>
      </c>
      <c r="J271" s="330" t="str">
        <f t="shared" si="35"/>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34"/>
        <v>0</v>
      </c>
      <c r="J272" s="330" t="str">
        <f t="shared" si="35"/>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36">SUM(C274:C283)</f>
        <v>0</v>
      </c>
      <c r="D273" s="444">
        <f t="shared" si="36"/>
        <v>0</v>
      </c>
      <c r="E273" s="441">
        <f t="shared" si="36"/>
        <v>0</v>
      </c>
      <c r="F273" s="443">
        <f t="shared" si="36"/>
        <v>0</v>
      </c>
      <c r="G273" s="441">
        <f t="shared" si="36"/>
        <v>0</v>
      </c>
      <c r="H273" s="443">
        <f t="shared" si="36"/>
        <v>0</v>
      </c>
      <c r="I273" s="44">
        <f t="shared" si="34"/>
        <v>0</v>
      </c>
      <c r="J273" s="330" t="str">
        <f t="shared" si="35"/>
        <v/>
      </c>
      <c r="K273" s="442">
        <f t="shared" si="36"/>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34"/>
        <v>0</v>
      </c>
      <c r="J274" s="330" t="str">
        <f t="shared" si="35"/>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34"/>
        <v>0</v>
      </c>
      <c r="J275" s="330" t="str">
        <f t="shared" si="35"/>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34"/>
        <v>0</v>
      </c>
      <c r="J276" s="330" t="str">
        <f t="shared" si="35"/>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34"/>
        <v>0</v>
      </c>
      <c r="J277" s="330" t="str">
        <f t="shared" si="35"/>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34"/>
        <v>0</v>
      </c>
      <c r="J278" s="330" t="str">
        <f t="shared" si="35"/>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34"/>
        <v>0</v>
      </c>
      <c r="J279" s="330" t="str">
        <f t="shared" si="35"/>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34"/>
        <v>0</v>
      </c>
      <c r="J280" s="330" t="str">
        <f t="shared" si="35"/>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34"/>
        <v>0</v>
      </c>
      <c r="J281" s="330" t="str">
        <f t="shared" si="35"/>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34"/>
        <v>0</v>
      </c>
      <c r="J282" s="330" t="str">
        <f t="shared" si="35"/>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34"/>
        <v>0</v>
      </c>
      <c r="J283" s="330" t="str">
        <f t="shared" si="35"/>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37">SUM(C285:C294)</f>
        <v>0</v>
      </c>
      <c r="D284" s="444">
        <f t="shared" si="37"/>
        <v>0</v>
      </c>
      <c r="E284" s="441">
        <f t="shared" si="37"/>
        <v>0</v>
      </c>
      <c r="F284" s="443">
        <f t="shared" si="37"/>
        <v>0</v>
      </c>
      <c r="G284" s="441">
        <f t="shared" si="37"/>
        <v>0</v>
      </c>
      <c r="H284" s="443">
        <f t="shared" si="37"/>
        <v>0</v>
      </c>
      <c r="I284" s="44">
        <f t="shared" si="34"/>
        <v>0</v>
      </c>
      <c r="J284" s="330" t="str">
        <f t="shared" si="35"/>
        <v/>
      </c>
      <c r="K284" s="442">
        <f t="shared" si="37"/>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34"/>
        <v>0</v>
      </c>
      <c r="J285" s="330" t="str">
        <f t="shared" si="35"/>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34"/>
        <v>0</v>
      </c>
      <c r="J286" s="330" t="str">
        <f t="shared" si="35"/>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34"/>
        <v>0</v>
      </c>
      <c r="J287" s="330" t="str">
        <f t="shared" si="35"/>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34"/>
        <v>0</v>
      </c>
      <c r="J288" s="330" t="str">
        <f t="shared" si="35"/>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34"/>
        <v>0</v>
      </c>
      <c r="J289" s="330" t="str">
        <f t="shared" si="35"/>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34"/>
        <v>0</v>
      </c>
      <c r="J290" s="330" t="str">
        <f t="shared" si="35"/>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34"/>
        <v>0</v>
      </c>
      <c r="J291" s="330" t="str">
        <f t="shared" si="35"/>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34"/>
        <v>0</v>
      </c>
      <c r="J292" s="330" t="str">
        <f t="shared" si="35"/>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34"/>
        <v>0</v>
      </c>
      <c r="J293" s="330" t="str">
        <f t="shared" si="35"/>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34"/>
        <v>0</v>
      </c>
      <c r="J294" s="330" t="str">
        <f t="shared" si="35"/>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38">SUM(C296:C305)</f>
        <v>0</v>
      </c>
      <c r="D295" s="444">
        <f t="shared" si="38"/>
        <v>0</v>
      </c>
      <c r="E295" s="441">
        <f t="shared" si="38"/>
        <v>0</v>
      </c>
      <c r="F295" s="443">
        <f t="shared" si="38"/>
        <v>0</v>
      </c>
      <c r="G295" s="441">
        <f t="shared" si="38"/>
        <v>0</v>
      </c>
      <c r="H295" s="443">
        <f t="shared" si="38"/>
        <v>0</v>
      </c>
      <c r="I295" s="44">
        <f t="shared" si="34"/>
        <v>0</v>
      </c>
      <c r="J295" s="330" t="str">
        <f t="shared" si="35"/>
        <v/>
      </c>
      <c r="K295" s="442">
        <f t="shared" si="38"/>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34"/>
        <v>0</v>
      </c>
      <c r="J296" s="330" t="str">
        <f t="shared" si="35"/>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34"/>
        <v>0</v>
      </c>
      <c r="J297" s="330" t="str">
        <f t="shared" si="35"/>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34"/>
        <v>0</v>
      </c>
      <c r="J298" s="330" t="str">
        <f t="shared" si="35"/>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34"/>
        <v>0</v>
      </c>
      <c r="J299" s="330" t="str">
        <f t="shared" si="35"/>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34"/>
        <v>0</v>
      </c>
      <c r="J300" s="330" t="str">
        <f t="shared" si="35"/>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34"/>
        <v>0</v>
      </c>
      <c r="J301" s="330" t="str">
        <f t="shared" si="35"/>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34"/>
        <v>0</v>
      </c>
      <c r="J302" s="330" t="str">
        <f t="shared" si="35"/>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34"/>
        <v>0</v>
      </c>
      <c r="J303" s="330" t="str">
        <f t="shared" si="35"/>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34"/>
        <v>0</v>
      </c>
      <c r="J304" s="330" t="str">
        <f t="shared" si="35"/>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34"/>
        <v>0</v>
      </c>
      <c r="J305" s="330" t="str">
        <f t="shared" si="35"/>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39">SUM(C307:C316)</f>
        <v>0</v>
      </c>
      <c r="D306" s="444">
        <f t="shared" si="39"/>
        <v>0</v>
      </c>
      <c r="E306" s="441">
        <f t="shared" si="39"/>
        <v>0</v>
      </c>
      <c r="F306" s="443">
        <f t="shared" si="39"/>
        <v>0</v>
      </c>
      <c r="G306" s="441">
        <f t="shared" si="39"/>
        <v>0</v>
      </c>
      <c r="H306" s="443">
        <f t="shared" si="39"/>
        <v>0</v>
      </c>
      <c r="I306" s="44">
        <f t="shared" si="34"/>
        <v>0</v>
      </c>
      <c r="J306" s="330" t="str">
        <f t="shared" si="35"/>
        <v/>
      </c>
      <c r="K306" s="442">
        <f t="shared" si="39"/>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34"/>
        <v>0</v>
      </c>
      <c r="J307" s="330" t="str">
        <f t="shared" si="35"/>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34"/>
        <v>0</v>
      </c>
      <c r="J308" s="330" t="str">
        <f t="shared" si="35"/>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34"/>
        <v>0</v>
      </c>
      <c r="J309" s="330" t="str">
        <f t="shared" si="35"/>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34"/>
        <v>0</v>
      </c>
      <c r="J310" s="330" t="str">
        <f t="shared" si="35"/>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34"/>
        <v>0</v>
      </c>
      <c r="J311" s="330" t="str">
        <f t="shared" si="35"/>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34"/>
        <v>0</v>
      </c>
      <c r="J312" s="330" t="str">
        <f t="shared" si="35"/>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34"/>
        <v>0</v>
      </c>
      <c r="J313" s="330" t="str">
        <f t="shared" si="35"/>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34"/>
        <v>0</v>
      </c>
      <c r="J314" s="330" t="str">
        <f t="shared" si="35"/>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34"/>
        <v>0</v>
      </c>
      <c r="J315" s="330" t="str">
        <f t="shared" si="35"/>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34"/>
        <v>0</v>
      </c>
      <c r="J316" s="330" t="str">
        <f t="shared" si="35"/>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40">SUM(C318:C327)</f>
        <v>0</v>
      </c>
      <c r="D317" s="444">
        <f t="shared" si="40"/>
        <v>0</v>
      </c>
      <c r="E317" s="441">
        <f t="shared" si="40"/>
        <v>0</v>
      </c>
      <c r="F317" s="443">
        <f t="shared" si="40"/>
        <v>0</v>
      </c>
      <c r="G317" s="441">
        <f t="shared" si="40"/>
        <v>0</v>
      </c>
      <c r="H317" s="443">
        <f t="shared" si="40"/>
        <v>0</v>
      </c>
      <c r="I317" s="44">
        <f t="shared" si="34"/>
        <v>0</v>
      </c>
      <c r="J317" s="330" t="str">
        <f t="shared" si="35"/>
        <v/>
      </c>
      <c r="K317" s="442">
        <f t="shared" si="40"/>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34"/>
        <v>0</v>
      </c>
      <c r="J318" s="330" t="str">
        <f t="shared" si="35"/>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34"/>
        <v>0</v>
      </c>
      <c r="J319" s="330" t="str">
        <f t="shared" si="35"/>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34"/>
        <v>0</v>
      </c>
      <c r="J320" s="330" t="str">
        <f t="shared" si="35"/>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34"/>
        <v>0</v>
      </c>
      <c r="J321" s="330" t="str">
        <f t="shared" si="35"/>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34"/>
        <v>0</v>
      </c>
      <c r="J322" s="330" t="str">
        <f t="shared" si="35"/>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34"/>
        <v>0</v>
      </c>
      <c r="J323" s="330" t="str">
        <f t="shared" si="35"/>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34"/>
        <v>0</v>
      </c>
      <c r="J324" s="330" t="str">
        <f t="shared" si="35"/>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34"/>
        <v>0</v>
      </c>
      <c r="J325" s="330" t="str">
        <f t="shared" si="35"/>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41">G326-H326</f>
        <v>0</v>
      </c>
      <c r="J326" s="330" t="str">
        <f t="shared" ref="J326:J341" si="42">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41"/>
        <v>0</v>
      </c>
      <c r="J327" s="330" t="str">
        <f t="shared" si="42"/>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43">SUM(C329:C338)</f>
        <v>0</v>
      </c>
      <c r="D328" s="444">
        <f t="shared" si="43"/>
        <v>0</v>
      </c>
      <c r="E328" s="441">
        <f t="shared" si="43"/>
        <v>0</v>
      </c>
      <c r="F328" s="443">
        <f t="shared" si="43"/>
        <v>0</v>
      </c>
      <c r="G328" s="441">
        <f t="shared" si="43"/>
        <v>0</v>
      </c>
      <c r="H328" s="443">
        <f t="shared" si="43"/>
        <v>0</v>
      </c>
      <c r="I328" s="44">
        <f t="shared" si="41"/>
        <v>0</v>
      </c>
      <c r="J328" s="330" t="str">
        <f t="shared" si="42"/>
        <v/>
      </c>
      <c r="K328" s="442">
        <f t="shared" si="43"/>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41"/>
        <v>0</v>
      </c>
      <c r="J329" s="330" t="str">
        <f t="shared" si="42"/>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41"/>
        <v>0</v>
      </c>
      <c r="J330" s="330" t="str">
        <f t="shared" si="42"/>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41"/>
        <v>0</v>
      </c>
      <c r="J331" s="330" t="str">
        <f t="shared" si="42"/>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41"/>
        <v>0</v>
      </c>
      <c r="J332" s="330" t="str">
        <f t="shared" si="42"/>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41"/>
        <v>0</v>
      </c>
      <c r="J333" s="330" t="str">
        <f t="shared" si="42"/>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41"/>
        <v>0</v>
      </c>
      <c r="J334" s="330" t="str">
        <f t="shared" si="42"/>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41"/>
        <v>0</v>
      </c>
      <c r="J335" s="330" t="str">
        <f t="shared" si="42"/>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41"/>
        <v>0</v>
      </c>
      <c r="J336" s="330" t="str">
        <f t="shared" si="42"/>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41"/>
        <v>0</v>
      </c>
      <c r="J337" s="330" t="str">
        <f t="shared" si="42"/>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41"/>
        <v>0</v>
      </c>
      <c r="J338" s="330" t="str">
        <f t="shared" si="42"/>
        <v/>
      </c>
      <c r="K338" s="395"/>
      <c r="L338" s="452">
        <f t="shared" ref="L338:W338" si="44">SUM(L173:L249)</f>
        <v>0</v>
      </c>
      <c r="M338" s="453">
        <f t="shared" si="44"/>
        <v>0</v>
      </c>
      <c r="N338" s="453">
        <f t="shared" si="44"/>
        <v>0</v>
      </c>
      <c r="O338" s="453">
        <f t="shared" si="44"/>
        <v>0</v>
      </c>
      <c r="P338" s="453">
        <f t="shared" si="44"/>
        <v>0</v>
      </c>
      <c r="Q338" s="453">
        <f t="shared" si="44"/>
        <v>0</v>
      </c>
      <c r="R338" s="453">
        <f t="shared" si="44"/>
        <v>0</v>
      </c>
      <c r="S338" s="453">
        <f t="shared" si="44"/>
        <v>0</v>
      </c>
      <c r="T338" s="453">
        <f t="shared" si="44"/>
        <v>0</v>
      </c>
      <c r="U338" s="453">
        <f t="shared" si="44"/>
        <v>0</v>
      </c>
      <c r="V338" s="453">
        <f t="shared" si="44"/>
        <v>0</v>
      </c>
      <c r="W338" s="453">
        <f t="shared" si="44"/>
        <v>0</v>
      </c>
    </row>
    <row r="339" spans="1:24" ht="12.75" customHeight="1" x14ac:dyDescent="0.25">
      <c r="A339" s="447" t="s">
        <v>634</v>
      </c>
      <c r="B339" s="445">
        <v>2</v>
      </c>
      <c r="C339" s="508">
        <f t="shared" ref="C339:H339" si="45">C174+C185+C196+C207+C218+C229+C240+C251+C262++C273+C284+C295+C306+C317+C328</f>
        <v>0</v>
      </c>
      <c r="D339" s="475">
        <f t="shared" si="45"/>
        <v>5501964562.032732</v>
      </c>
      <c r="E339" s="430">
        <f t="shared" si="45"/>
        <v>5559528170.2310734</v>
      </c>
      <c r="F339" s="474">
        <f t="shared" si="45"/>
        <v>439316979.01999992</v>
      </c>
      <c r="G339" s="430">
        <f t="shared" si="45"/>
        <v>2307630800.4100008</v>
      </c>
      <c r="H339" s="474">
        <f t="shared" si="45"/>
        <v>2316470070.9296141</v>
      </c>
      <c r="I339" s="430">
        <f t="shared" si="41"/>
        <v>-8839270.519613266</v>
      </c>
      <c r="J339" s="430">
        <f t="shared" si="42"/>
        <v>-3.8158362719817101E-3</v>
      </c>
      <c r="K339" s="513">
        <f>K174+K185+K196+K207+K218+K229+K240+K251+K262++K273+K284+K295+K306+K317+K328</f>
        <v>5559528170.2310734</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41"/>
        <v>0</v>
      </c>
      <c r="J340" s="50" t="str">
        <f t="shared" si="42"/>
        <v/>
      </c>
      <c r="K340" s="194"/>
      <c r="L340" s="480">
        <f t="shared" ref="L340:W340" si="46">L170-L338</f>
        <v>0</v>
      </c>
      <c r="M340" s="481">
        <f t="shared" si="46"/>
        <v>0</v>
      </c>
      <c r="N340" s="481">
        <f t="shared" si="46"/>
        <v>0</v>
      </c>
      <c r="O340" s="481">
        <f t="shared" si="46"/>
        <v>0</v>
      </c>
      <c r="P340" s="481">
        <f t="shared" si="46"/>
        <v>0</v>
      </c>
      <c r="Q340" s="481">
        <f t="shared" si="46"/>
        <v>0</v>
      </c>
      <c r="R340" s="481">
        <f t="shared" si="46"/>
        <v>0</v>
      </c>
      <c r="S340" s="481">
        <f t="shared" si="46"/>
        <v>0</v>
      </c>
      <c r="T340" s="481">
        <f t="shared" si="46"/>
        <v>0</v>
      </c>
      <c r="U340" s="481">
        <f t="shared" si="46"/>
        <v>0</v>
      </c>
      <c r="V340" s="481">
        <f t="shared" si="46"/>
        <v>0</v>
      </c>
      <c r="W340" s="481">
        <f t="shared" si="46"/>
        <v>0</v>
      </c>
    </row>
    <row r="341" spans="1:24" s="486" customFormat="1" ht="11.25" customHeight="1" thickTop="1" x14ac:dyDescent="0.25">
      <c r="A341" s="886" t="str">
        <f>result</f>
        <v>Surplus/ (Deficit) for the year</v>
      </c>
      <c r="B341" s="477">
        <v>2</v>
      </c>
      <c r="C341" s="509">
        <f t="shared" ref="C341:H341" si="47">C171-C339</f>
        <v>0</v>
      </c>
      <c r="D341" s="512">
        <f t="shared" si="47"/>
        <v>941737276.83933258</v>
      </c>
      <c r="E341" s="55">
        <f t="shared" si="47"/>
        <v>973171668.64099121</v>
      </c>
      <c r="F341" s="479">
        <f t="shared" si="47"/>
        <v>22734446.950000048</v>
      </c>
      <c r="G341" s="55">
        <f t="shared" si="47"/>
        <v>263785246.93999958</v>
      </c>
      <c r="H341" s="479">
        <f t="shared" si="47"/>
        <v>405488195.26707935</v>
      </c>
      <c r="I341" s="55">
        <f t="shared" si="41"/>
        <v>-141702948.32707977</v>
      </c>
      <c r="J341" s="55">
        <f t="shared" si="42"/>
        <v>-0.34946257371005718</v>
      </c>
      <c r="K341" s="235">
        <f>K171-K339</f>
        <v>973171668.64099121</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14" activePane="bottomRight" state="frozen"/>
      <selection pane="topRight"/>
      <selection pane="bottomLeft"/>
      <selection pane="bottomRight" activeCell="G25" sqref="G25"/>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"&amp;S71B&amp; " - "&amp;date</f>
        <v>KZN225 Msunduzi - Table C4 Monthly Budget Statement - Financial Performance (revenue and expenditure) - M05 November</v>
      </c>
      <c r="B1" s="1054"/>
      <c r="C1" s="1054"/>
      <c r="D1" s="1054"/>
      <c r="E1" s="1054"/>
      <c r="F1" s="1054"/>
      <c r="G1" s="1054"/>
      <c r="H1" s="1054"/>
      <c r="I1" s="1054"/>
      <c r="J1" s="1054"/>
      <c r="K1" s="1054"/>
    </row>
    <row r="2" spans="1:11" x14ac:dyDescent="0.25">
      <c r="A2" s="1043" t="str">
        <f>desc</f>
        <v>Description</v>
      </c>
      <c r="B2" s="1052" t="str">
        <f>head27</f>
        <v>Ref</v>
      </c>
      <c r="C2" s="158" t="str">
        <f>Head1</f>
        <v>2019/20</v>
      </c>
      <c r="D2" s="1038" t="str">
        <f>Head2</f>
        <v>Budget Year 2020/21</v>
      </c>
      <c r="E2" s="1039"/>
      <c r="F2" s="1039"/>
      <c r="G2" s="1039"/>
      <c r="H2" s="1039"/>
      <c r="I2" s="1039"/>
      <c r="J2" s="1039"/>
      <c r="K2" s="1040"/>
    </row>
    <row r="3" spans="1:11" ht="25.5" x14ac:dyDescent="0.25">
      <c r="A3" s="1044"/>
      <c r="B3" s="1053"/>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93714917.719999984</v>
      </c>
      <c r="G6" s="733">
        <v>504592894.10999995</v>
      </c>
      <c r="H6" s="733">
        <f>E6/12*5</f>
        <v>529081080.84241658</v>
      </c>
      <c r="I6" s="44">
        <f t="shared" ref="I6:I22" si="0">G6-H6</f>
        <v>-24488186.73241663</v>
      </c>
      <c r="J6" s="330">
        <f t="shared" ref="J6:J22" si="1">IF(I6=0,"",I6/H6)</f>
        <v>-4.6284374208629624E-2</v>
      </c>
      <c r="K6" s="735">
        <f>E6</f>
        <v>1269794594.0217998</v>
      </c>
    </row>
    <row r="7" spans="1:11" ht="11.25" customHeight="1" x14ac:dyDescent="0.25">
      <c r="A7" s="39" t="s">
        <v>834</v>
      </c>
      <c r="B7" s="419"/>
      <c r="C7" s="748"/>
      <c r="D7" s="745">
        <v>2584775677.1378117</v>
      </c>
      <c r="E7" s="733">
        <v>2584775677.1378117</v>
      </c>
      <c r="F7" s="733">
        <v>179319053.10999998</v>
      </c>
      <c r="G7" s="733">
        <v>1006480217.1799999</v>
      </c>
      <c r="H7" s="733">
        <f>E7/12*5</f>
        <v>1076989865.4740882</v>
      </c>
      <c r="I7" s="44">
        <f t="shared" si="0"/>
        <v>-70509648.294088244</v>
      </c>
      <c r="J7" s="330">
        <f t="shared" si="1"/>
        <v>-6.5469184580534634E-2</v>
      </c>
      <c r="K7" s="735">
        <f>E7</f>
        <v>2584775677.1378117</v>
      </c>
    </row>
    <row r="8" spans="1:11" ht="11.25" customHeight="1" x14ac:dyDescent="0.25">
      <c r="A8" s="86" t="s">
        <v>835</v>
      </c>
      <c r="B8" s="421"/>
      <c r="C8" s="748"/>
      <c r="D8" s="745">
        <v>722633094.82360029</v>
      </c>
      <c r="E8" s="733">
        <v>722633094.82360029</v>
      </c>
      <c r="F8" s="733">
        <v>69694720.760000005</v>
      </c>
      <c r="G8" s="733">
        <v>329972966.10999995</v>
      </c>
      <c r="H8" s="733">
        <f>E8/12*5</f>
        <v>301097122.84316677</v>
      </c>
      <c r="I8" s="44">
        <f t="shared" si="0"/>
        <v>28875843.266833186</v>
      </c>
      <c r="J8" s="330">
        <f t="shared" si="1"/>
        <v>9.5902089645253166E-2</v>
      </c>
      <c r="K8" s="735">
        <f>E8</f>
        <v>722633094.82360029</v>
      </c>
    </row>
    <row r="9" spans="1:11" ht="11.25" customHeight="1" x14ac:dyDescent="0.25">
      <c r="A9" s="86" t="s">
        <v>836</v>
      </c>
      <c r="B9" s="421"/>
      <c r="C9" s="748"/>
      <c r="D9" s="745">
        <v>152021749.3608</v>
      </c>
      <c r="E9" s="733">
        <v>152021749.3608</v>
      </c>
      <c r="F9" s="733">
        <v>14883518.35</v>
      </c>
      <c r="G9" s="733">
        <v>65641830.189999998</v>
      </c>
      <c r="H9" s="733">
        <f>E9/12*5</f>
        <v>63342395.566999994</v>
      </c>
      <c r="I9" s="44">
        <f t="shared" si="0"/>
        <v>2299434.6230000034</v>
      </c>
      <c r="J9" s="330">
        <f t="shared" si="1"/>
        <v>3.6301668138960609E-2</v>
      </c>
      <c r="K9" s="735">
        <f>E9</f>
        <v>152021749.3608</v>
      </c>
    </row>
    <row r="10" spans="1:11" ht="11.25" customHeight="1" x14ac:dyDescent="0.25">
      <c r="A10" s="517" t="s">
        <v>72</v>
      </c>
      <c r="B10" s="421"/>
      <c r="C10" s="748"/>
      <c r="D10" s="745">
        <v>116333080.9707</v>
      </c>
      <c r="E10" s="733">
        <v>116333080.9707</v>
      </c>
      <c r="F10" s="733">
        <v>8911889.8300000001</v>
      </c>
      <c r="G10" s="733">
        <v>44520979.920000009</v>
      </c>
      <c r="H10" s="733">
        <f>E10/12*5</f>
        <v>48472117.071124993</v>
      </c>
      <c r="I10" s="44">
        <f t="shared" si="0"/>
        <v>-3951137.151124984</v>
      </c>
      <c r="J10" s="330">
        <f t="shared" si="1"/>
        <v>-8.151360802597768E-2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1628126.6100000003</v>
      </c>
      <c r="G12" s="733">
        <v>1341946.6700000002</v>
      </c>
      <c r="H12" s="733">
        <f>E12/12*5</f>
        <v>12116165.677916665</v>
      </c>
      <c r="I12" s="44">
        <f t="shared" si="0"/>
        <v>-10774219.007916665</v>
      </c>
      <c r="J12" s="330">
        <f t="shared" si="1"/>
        <v>-0.88924328820908438</v>
      </c>
      <c r="K12" s="735">
        <f>E12</f>
        <v>29078797.626999993</v>
      </c>
    </row>
    <row r="13" spans="1:11" ht="11.25" customHeight="1" x14ac:dyDescent="0.25">
      <c r="A13" s="86" t="s">
        <v>838</v>
      </c>
      <c r="B13" s="421"/>
      <c r="C13" s="748"/>
      <c r="D13" s="745">
        <v>15260422.42725</v>
      </c>
      <c r="E13" s="733">
        <v>15260422.42725</v>
      </c>
      <c r="F13" s="733">
        <v>397812.61</v>
      </c>
      <c r="G13" s="733">
        <v>3066498.5100000002</v>
      </c>
      <c r="H13" s="733">
        <f>E13/12*5</f>
        <v>6358509.3446875</v>
      </c>
      <c r="I13" s="44">
        <f t="shared" si="0"/>
        <v>-3292010.8346874998</v>
      </c>
      <c r="J13" s="330">
        <f t="shared" si="1"/>
        <v>-0.51773311262614674</v>
      </c>
      <c r="K13" s="735">
        <f>E13</f>
        <v>15260422.42725</v>
      </c>
    </row>
    <row r="14" spans="1:11" ht="11.25" customHeight="1" x14ac:dyDescent="0.25">
      <c r="A14" s="86" t="s">
        <v>839</v>
      </c>
      <c r="B14" s="421"/>
      <c r="C14" s="748"/>
      <c r="D14" s="745">
        <v>202457793.88559997</v>
      </c>
      <c r="E14" s="733">
        <v>202457793.88559997</v>
      </c>
      <c r="F14" s="733">
        <v>16922482.57</v>
      </c>
      <c r="G14" s="733">
        <v>74041448.699999988</v>
      </c>
      <c r="H14" s="733">
        <f>E14/12*5</f>
        <v>84357414.118999988</v>
      </c>
      <c r="I14" s="44">
        <f t="shared" si="0"/>
        <v>-10315965.419</v>
      </c>
      <c r="J14" s="330">
        <f t="shared" si="1"/>
        <v>-0.12228878192552982</v>
      </c>
      <c r="K14" s="735">
        <f>E14</f>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c r="D16" s="745">
        <v>1798551.4436999999</v>
      </c>
      <c r="E16" s="733">
        <v>1798551.4436999999</v>
      </c>
      <c r="F16" s="733">
        <v>62825.66</v>
      </c>
      <c r="G16" s="733">
        <v>-229168.70999999996</v>
      </c>
      <c r="H16" s="733">
        <f>E16/12*5</f>
        <v>749396.43487500004</v>
      </c>
      <c r="I16" s="44">
        <f t="shared" si="0"/>
        <v>-978565.144875</v>
      </c>
      <c r="J16" s="330">
        <f t="shared" si="1"/>
        <v>-1.3058043771428209</v>
      </c>
      <c r="K16" s="735">
        <f>E16</f>
        <v>1798551.4436999999</v>
      </c>
    </row>
    <row r="17" spans="1:11" ht="11.25" customHeight="1" x14ac:dyDescent="0.25">
      <c r="A17" s="86" t="s">
        <v>840</v>
      </c>
      <c r="B17" s="421"/>
      <c r="C17" s="748"/>
      <c r="D17" s="745">
        <v>1119569.0055</v>
      </c>
      <c r="E17" s="733">
        <v>1119569.0055</v>
      </c>
      <c r="F17" s="733">
        <v>61319.869999999995</v>
      </c>
      <c r="G17" s="733">
        <v>254632.97999999998</v>
      </c>
      <c r="H17" s="733">
        <f>E17/12*5</f>
        <v>466487.08562499995</v>
      </c>
      <c r="I17" s="44">
        <f t="shared" si="0"/>
        <v>-211854.10562499997</v>
      </c>
      <c r="J17" s="330">
        <f t="shared" si="1"/>
        <v>-0.45414784707524664</v>
      </c>
      <c r="K17" s="735">
        <f>E17</f>
        <v>1119569.0055</v>
      </c>
    </row>
    <row r="18" spans="1:11" ht="11.25" customHeight="1" x14ac:dyDescent="0.25">
      <c r="A18" s="86" t="s">
        <v>580</v>
      </c>
      <c r="B18" s="421"/>
      <c r="C18" s="748"/>
      <c r="D18" s="745">
        <v>601902.02599999995</v>
      </c>
      <c r="E18" s="733">
        <v>601902.02599999995</v>
      </c>
      <c r="F18" s="733">
        <v>329180</v>
      </c>
      <c r="G18" s="733">
        <v>329180</v>
      </c>
      <c r="H18" s="733">
        <f>E18/12*5</f>
        <v>250792.51083333333</v>
      </c>
      <c r="I18" s="44">
        <f t="shared" si="0"/>
        <v>78387.489166666666</v>
      </c>
      <c r="J18" s="330">
        <f t="shared" si="1"/>
        <v>0.3125591306781878</v>
      </c>
      <c r="K18" s="735">
        <f>E18</f>
        <v>601902.02599999995</v>
      </c>
    </row>
    <row r="19" spans="1:11" ht="11.25" customHeight="1" x14ac:dyDescent="0.25">
      <c r="A19" s="518" t="s">
        <v>1118</v>
      </c>
      <c r="B19" s="421"/>
      <c r="C19" s="748"/>
      <c r="D19" s="745">
        <v>675483240</v>
      </c>
      <c r="E19" s="733">
        <v>764481240</v>
      </c>
      <c r="F19" s="733">
        <v>5348308.3699999992</v>
      </c>
      <c r="G19" s="733">
        <v>293615675.90000004</v>
      </c>
      <c r="H19" s="733">
        <f>E19/12*5</f>
        <v>318533850</v>
      </c>
      <c r="I19" s="44">
        <f t="shared" si="0"/>
        <v>-24918174.099999964</v>
      </c>
      <c r="J19" s="330">
        <f t="shared" si="1"/>
        <v>-7.8227711434750075E-2</v>
      </c>
      <c r="K19" s="735">
        <f>E19</f>
        <v>764481240</v>
      </c>
    </row>
    <row r="20" spans="1:11" ht="11.25" customHeight="1" x14ac:dyDescent="0.25">
      <c r="A20" s="86" t="s">
        <v>453</v>
      </c>
      <c r="B20" s="421"/>
      <c r="C20" s="748"/>
      <c r="D20" s="745">
        <v>146451785.14229998</v>
      </c>
      <c r="E20" s="733">
        <v>146451785.14229998</v>
      </c>
      <c r="F20" s="733">
        <v>3333305.6</v>
      </c>
      <c r="G20" s="733">
        <v>61034260.999999963</v>
      </c>
      <c r="H20" s="733">
        <f>E20/12*5</f>
        <v>61021577.142624997</v>
      </c>
      <c r="I20" s="44">
        <f t="shared" si="0"/>
        <v>12683.857374966145</v>
      </c>
      <c r="J20" s="330">
        <f t="shared" si="1"/>
        <v>2.0785856362447527E-4</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2">SUM(C6:C10)+SUM(C12:C21)</f>
        <v>0</v>
      </c>
      <c r="D22" s="523">
        <f t="shared" si="2"/>
        <v>5917810257.8720617</v>
      </c>
      <c r="E22" s="524">
        <f t="shared" si="2"/>
        <v>6006808257.8720617</v>
      </c>
      <c r="F22" s="524">
        <f t="shared" si="2"/>
        <v>394607461.06</v>
      </c>
      <c r="G22" s="524">
        <f t="shared" si="2"/>
        <v>2384663362.5599999</v>
      </c>
      <c r="H22" s="524">
        <f t="shared" si="2"/>
        <v>2502836774.113359</v>
      </c>
      <c r="I22" s="524">
        <f t="shared" si="0"/>
        <v>-118173411.55335903</v>
      </c>
      <c r="J22" s="525">
        <f t="shared" si="1"/>
        <v>-4.7215788410821351E-2</v>
      </c>
      <c r="K22" s="526">
        <f>SUM(K6:K10)+SUM(K12:K21)</f>
        <v>6006808257.8720617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1467373084.0741799</v>
      </c>
      <c r="E25" s="733">
        <v>1478324304.2495084</v>
      </c>
      <c r="F25" s="733">
        <v>106761533.07000008</v>
      </c>
      <c r="G25" s="733">
        <v>597565465.65000021</v>
      </c>
      <c r="H25" s="733">
        <f t="shared" ref="H25:H34" si="3">E25/12*5</f>
        <v>615968460.10396183</v>
      </c>
      <c r="I25" s="44">
        <f t="shared" ref="I25:I36" si="4">G25-H25</f>
        <v>-18402994.453961611</v>
      </c>
      <c r="J25" s="330">
        <f t="shared" ref="J25:J41" si="5">IF(I25=0,"",I25/H25)</f>
        <v>-2.9876520708309633E-2</v>
      </c>
      <c r="K25" s="735">
        <f>E25</f>
        <v>1478324304.2495084</v>
      </c>
    </row>
    <row r="26" spans="1:11" ht="12.75" customHeight="1" x14ac:dyDescent="0.25">
      <c r="A26" s="39" t="s">
        <v>477</v>
      </c>
      <c r="B26" s="419"/>
      <c r="C26" s="748"/>
      <c r="D26" s="745">
        <v>53650401.115479976</v>
      </c>
      <c r="E26" s="733">
        <v>53650401.439999998</v>
      </c>
      <c r="F26" s="733">
        <v>4013638.03</v>
      </c>
      <c r="G26" s="733">
        <v>21626131.23</v>
      </c>
      <c r="H26" s="733">
        <f t="shared" si="3"/>
        <v>22354333.93333333</v>
      </c>
      <c r="I26" s="44">
        <f t="shared" si="4"/>
        <v>-728202.70333332941</v>
      </c>
      <c r="J26" s="330">
        <f t="shared" si="5"/>
        <v>-3.2575459662767266E-2</v>
      </c>
      <c r="K26" s="735">
        <f t="shared" ref="K26:K34" si="6">E26</f>
        <v>53650401.439999998</v>
      </c>
    </row>
    <row r="27" spans="1:11" ht="12.75" customHeight="1" x14ac:dyDescent="0.25">
      <c r="A27" s="86" t="s">
        <v>611</v>
      </c>
      <c r="B27" s="421"/>
      <c r="C27" s="748"/>
      <c r="D27" s="745">
        <v>123904143.27200001</v>
      </c>
      <c r="E27" s="733">
        <v>123904143.27200001</v>
      </c>
      <c r="F27" s="733">
        <v>2058302.32</v>
      </c>
      <c r="G27" s="733">
        <v>5026011.5600000005</v>
      </c>
      <c r="H27" s="733">
        <f t="shared" si="3"/>
        <v>51626726.363333344</v>
      </c>
      <c r="I27" s="44">
        <f t="shared" si="4"/>
        <v>-46600714.803333342</v>
      </c>
      <c r="J27" s="330">
        <f t="shared" si="5"/>
        <v>-0.90264709939908938</v>
      </c>
      <c r="K27" s="735">
        <f t="shared" si="6"/>
        <v>123904143.27200001</v>
      </c>
    </row>
    <row r="28" spans="1:11" ht="12.75" customHeight="1" x14ac:dyDescent="0.25">
      <c r="A28" s="86" t="s">
        <v>664</v>
      </c>
      <c r="B28" s="421"/>
      <c r="C28" s="748"/>
      <c r="D28" s="745">
        <v>488991448.27473986</v>
      </c>
      <c r="E28" s="733">
        <v>481491449.27473986</v>
      </c>
      <c r="F28" s="733">
        <v>34708045.85999997</v>
      </c>
      <c r="G28" s="733">
        <v>176512636.59999999</v>
      </c>
      <c r="H28" s="733">
        <f t="shared" si="3"/>
        <v>200621437.1978083</v>
      </c>
      <c r="I28" s="44">
        <f t="shared" si="4"/>
        <v>-24108800.597808301</v>
      </c>
      <c r="J28" s="330">
        <f t="shared" si="5"/>
        <v>-0.12017061055164088</v>
      </c>
      <c r="K28" s="735">
        <f t="shared" si="6"/>
        <v>481491449.27473986</v>
      </c>
    </row>
    <row r="29" spans="1:11" ht="12.75" customHeight="1" x14ac:dyDescent="0.25">
      <c r="A29" s="86" t="s">
        <v>452</v>
      </c>
      <c r="B29" s="421"/>
      <c r="C29" s="748"/>
      <c r="D29" s="745">
        <v>31793212.220000003</v>
      </c>
      <c r="E29" s="733">
        <v>36505334.219999969</v>
      </c>
      <c r="F29" s="733">
        <v>2965268.6899999995</v>
      </c>
      <c r="G29" s="733">
        <v>16438897.84</v>
      </c>
      <c r="H29" s="733">
        <f t="shared" si="3"/>
        <v>15210555.924999986</v>
      </c>
      <c r="I29" s="44">
        <f t="shared" si="4"/>
        <v>1228341.915000014</v>
      </c>
      <c r="J29" s="330">
        <f t="shared" si="5"/>
        <v>8.0755885653141582E-2</v>
      </c>
      <c r="K29" s="735">
        <f t="shared" si="6"/>
        <v>36505334.219999969</v>
      </c>
    </row>
    <row r="30" spans="1:11" ht="12.75" customHeight="1" x14ac:dyDescent="0.25">
      <c r="A30" s="86" t="s">
        <v>844</v>
      </c>
      <c r="B30" s="421"/>
      <c r="C30" s="748"/>
      <c r="D30" s="745">
        <v>2608224084.5041752</v>
      </c>
      <c r="E30" s="733">
        <v>2608224084.5041752</v>
      </c>
      <c r="F30" s="733">
        <v>223446118.33000001</v>
      </c>
      <c r="G30" s="733">
        <v>1206099545.1800001</v>
      </c>
      <c r="H30" s="733">
        <f t="shared" si="3"/>
        <v>1086760035.210073</v>
      </c>
      <c r="I30" s="44">
        <f t="shared" si="4"/>
        <v>119339509.96992707</v>
      </c>
      <c r="J30" s="330">
        <f t="shared" si="5"/>
        <v>0.10981219966085567</v>
      </c>
      <c r="K30" s="735">
        <f t="shared" si="6"/>
        <v>2608224084.5041752</v>
      </c>
    </row>
    <row r="31" spans="1:11" ht="12.75" customHeight="1" x14ac:dyDescent="0.25">
      <c r="A31" s="86" t="s">
        <v>920</v>
      </c>
      <c r="B31" s="421"/>
      <c r="C31" s="748"/>
      <c r="D31" s="745">
        <v>46574816.042614385</v>
      </c>
      <c r="E31" s="733">
        <v>63670207.006963424</v>
      </c>
      <c r="F31" s="733">
        <v>3664520.58</v>
      </c>
      <c r="G31" s="733">
        <v>8833549.2299999986</v>
      </c>
      <c r="H31" s="733">
        <f t="shared" si="3"/>
        <v>26529252.919568092</v>
      </c>
      <c r="I31" s="44">
        <f t="shared" si="4"/>
        <v>-17695703.689568095</v>
      </c>
      <c r="J31" s="330">
        <f t="shared" si="5"/>
        <v>-0.66702608411998165</v>
      </c>
      <c r="K31" s="735">
        <f t="shared" si="6"/>
        <v>63670207.006963424</v>
      </c>
    </row>
    <row r="32" spans="1:11" ht="12.75" customHeight="1" x14ac:dyDescent="0.25">
      <c r="A32" s="86" t="s">
        <v>845</v>
      </c>
      <c r="B32" s="421"/>
      <c r="C32" s="748"/>
      <c r="D32" s="745">
        <v>463787100.72254992</v>
      </c>
      <c r="E32" s="733">
        <v>490524718.2633999</v>
      </c>
      <c r="F32" s="733">
        <v>46753607.430000007</v>
      </c>
      <c r="G32" s="733">
        <v>188048660.66000006</v>
      </c>
      <c r="H32" s="733">
        <f t="shared" si="3"/>
        <v>204385299.27641663</v>
      </c>
      <c r="I32" s="44">
        <f t="shared" si="4"/>
        <v>-16336638.616416574</v>
      </c>
      <c r="J32" s="330">
        <f t="shared" si="5"/>
        <v>-7.9930595176135572E-2</v>
      </c>
      <c r="K32" s="735">
        <f t="shared" si="6"/>
        <v>490524718.2633999</v>
      </c>
    </row>
    <row r="33" spans="1:12" ht="12.75" customHeight="1" x14ac:dyDescent="0.25">
      <c r="A33" s="517" t="s">
        <v>1118</v>
      </c>
      <c r="B33" s="421"/>
      <c r="C33" s="748"/>
      <c r="D33" s="745">
        <v>25080461.44304001</v>
      </c>
      <c r="E33" s="733">
        <v>58680462</v>
      </c>
      <c r="F33" s="733">
        <v>5509878.8999999994</v>
      </c>
      <c r="G33" s="733">
        <v>20738257.259999998</v>
      </c>
      <c r="H33" s="733">
        <f t="shared" si="3"/>
        <v>24450192.5</v>
      </c>
      <c r="I33" s="44">
        <f t="shared" si="4"/>
        <v>-3711935.2400000021</v>
      </c>
      <c r="J33" s="330">
        <f t="shared" si="5"/>
        <v>-0.15181619694814272</v>
      </c>
      <c r="K33" s="735">
        <f t="shared" si="6"/>
        <v>58680462</v>
      </c>
    </row>
    <row r="34" spans="1:12" ht="12.75" customHeight="1" x14ac:dyDescent="0.25">
      <c r="A34" s="86" t="s">
        <v>434</v>
      </c>
      <c r="B34" s="421"/>
      <c r="C34" s="748"/>
      <c r="D34" s="745">
        <v>192585810.36394995</v>
      </c>
      <c r="E34" s="733">
        <v>164553065.99999997</v>
      </c>
      <c r="F34" s="733">
        <v>9436065.8100000024</v>
      </c>
      <c r="G34" s="733">
        <v>66741645.200000055</v>
      </c>
      <c r="H34" s="733">
        <f t="shared" si="3"/>
        <v>68563777.499999985</v>
      </c>
      <c r="I34" s="44">
        <f t="shared" si="4"/>
        <v>-1822132.29999993</v>
      </c>
      <c r="J34" s="330">
        <f t="shared" si="5"/>
        <v>-2.6575727978230639E-2</v>
      </c>
      <c r="K34" s="735">
        <f t="shared" si="6"/>
        <v>164553065.99999997</v>
      </c>
    </row>
    <row r="35" spans="1:12" ht="12.75" customHeight="1" x14ac:dyDescent="0.25">
      <c r="A35" s="990" t="s">
        <v>1370</v>
      </c>
      <c r="B35" s="419"/>
      <c r="C35" s="748"/>
      <c r="D35" s="745"/>
      <c r="E35" s="733"/>
      <c r="F35" s="733"/>
      <c r="G35" s="733"/>
      <c r="H35" s="733"/>
      <c r="I35" s="44">
        <f t="shared" si="4"/>
        <v>0</v>
      </c>
      <c r="J35" s="330" t="str">
        <f t="shared" si="5"/>
        <v/>
      </c>
      <c r="K35" s="735"/>
    </row>
    <row r="36" spans="1:12" ht="12.75" customHeight="1" x14ac:dyDescent="0.25">
      <c r="A36" s="92" t="s">
        <v>488</v>
      </c>
      <c r="B36" s="422"/>
      <c r="C36" s="243">
        <f t="shared" ref="C36:K36" si="7">SUM(C25:C35)</f>
        <v>0</v>
      </c>
      <c r="D36" s="74">
        <f>SUM(D25:D35)</f>
        <v>5501964562.0327282</v>
      </c>
      <c r="E36" s="73">
        <f>SUM(E25:E35)</f>
        <v>5559528170.2307873</v>
      </c>
      <c r="F36" s="73">
        <f t="shared" si="7"/>
        <v>439316979.02000004</v>
      </c>
      <c r="G36" s="73">
        <f t="shared" si="7"/>
        <v>2307630800.4100008</v>
      </c>
      <c r="H36" s="73">
        <f t="shared" si="7"/>
        <v>2316470070.9294944</v>
      </c>
      <c r="I36" s="73">
        <f t="shared" si="4"/>
        <v>-8839270.5194935799</v>
      </c>
      <c r="J36" s="331">
        <f t="shared" si="5"/>
        <v>-3.8158362719302396E-3</v>
      </c>
      <c r="K36" s="145">
        <f t="shared" si="7"/>
        <v>5559528170.2307873</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8">C22-C36</f>
        <v>0</v>
      </c>
      <c r="D38" s="51">
        <f t="shared" si="8"/>
        <v>415845695.83933353</v>
      </c>
      <c r="E38" s="50">
        <f t="shared" si="8"/>
        <v>447280087.64127445</v>
      </c>
      <c r="F38" s="50">
        <f t="shared" si="8"/>
        <v>-44709517.960000038</v>
      </c>
      <c r="G38" s="50">
        <f t="shared" si="8"/>
        <v>77032562.149999142</v>
      </c>
      <c r="H38" s="50">
        <f t="shared" si="8"/>
        <v>186366703.18386459</v>
      </c>
      <c r="I38" s="102">
        <f>I22-I36</f>
        <v>-109334141.03386545</v>
      </c>
      <c r="J38" s="102">
        <f t="shared" si="5"/>
        <v>-0.58666134650672663</v>
      </c>
      <c r="K38" s="194">
        <f>K22-K36</f>
        <v>447280087.64127445</v>
      </c>
    </row>
    <row r="39" spans="1:12" ht="19.899999999999999" customHeight="1" x14ac:dyDescent="0.25">
      <c r="A39" s="937" t="s">
        <v>1119</v>
      </c>
      <c r="B39" s="419"/>
      <c r="C39" s="748"/>
      <c r="D39" s="745">
        <v>525891580.99999982</v>
      </c>
      <c r="E39" s="733">
        <v>525891580.99999982</v>
      </c>
      <c r="F39" s="733">
        <v>67443964.909999996</v>
      </c>
      <c r="G39" s="733">
        <v>186752684.79000002</v>
      </c>
      <c r="H39" s="733">
        <f>E39/12*5</f>
        <v>219121492.08333325</v>
      </c>
      <c r="I39" s="47">
        <f>G39-H39</f>
        <v>-32368807.293333232</v>
      </c>
      <c r="J39" s="102">
        <f t="shared" si="5"/>
        <v>-0.14772082366536265</v>
      </c>
      <c r="K39" s="735">
        <f>E39</f>
        <v>525891580.99999982</v>
      </c>
    </row>
    <row r="40" spans="1:12" ht="39.6" customHeight="1" x14ac:dyDescent="0.25">
      <c r="A40" s="937" t="s">
        <v>1120</v>
      </c>
      <c r="B40" s="419"/>
      <c r="C40" s="748"/>
      <c r="D40" s="745"/>
      <c r="E40" s="733"/>
      <c r="F40" s="733"/>
      <c r="G40" s="733"/>
      <c r="H40" s="733"/>
      <c r="I40" s="47">
        <f>G40-H40</f>
        <v>0</v>
      </c>
      <c r="J40" s="102" t="str">
        <f t="shared" si="5"/>
        <v/>
      </c>
      <c r="K40" s="735"/>
    </row>
    <row r="41" spans="1:12" ht="12.75" customHeight="1" x14ac:dyDescent="0.25">
      <c r="A41" s="518" t="s">
        <v>1121</v>
      </c>
      <c r="B41" s="419"/>
      <c r="C41" s="749"/>
      <c r="D41" s="750"/>
      <c r="E41" s="751"/>
      <c r="F41" s="751"/>
      <c r="G41" s="751"/>
      <c r="H41" s="751"/>
      <c r="I41" s="47">
        <f>G41-H41</f>
        <v>0</v>
      </c>
      <c r="J41" s="102" t="str">
        <f t="shared" si="5"/>
        <v/>
      </c>
      <c r="K41" s="752"/>
    </row>
    <row r="42" spans="1:12" ht="25.5" x14ac:dyDescent="0.25">
      <c r="A42" s="250" t="s">
        <v>752</v>
      </c>
      <c r="B42" s="521"/>
      <c r="C42" s="252">
        <f t="shared" ref="C42:H42" si="9">C38+SUM(C39:C41)</f>
        <v>0</v>
      </c>
      <c r="D42" s="253">
        <f t="shared" si="9"/>
        <v>941737276.8393333</v>
      </c>
      <c r="E42" s="254">
        <f t="shared" si="9"/>
        <v>973171668.64127421</v>
      </c>
      <c r="F42" s="254">
        <f t="shared" si="9"/>
        <v>22734446.949999958</v>
      </c>
      <c r="G42" s="254">
        <f t="shared" si="9"/>
        <v>263785246.93999916</v>
      </c>
      <c r="H42" s="254">
        <f t="shared" si="9"/>
        <v>405488195.26719785</v>
      </c>
      <c r="I42" s="329"/>
      <c r="J42" s="329"/>
      <c r="K42" s="255">
        <f>K38+SUM(K39:K41)</f>
        <v>973171668.64127421</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0">C42-C43</f>
        <v>0</v>
      </c>
      <c r="D44" s="51">
        <f t="shared" si="10"/>
        <v>941737276.8393333</v>
      </c>
      <c r="E44" s="50">
        <f t="shared" si="10"/>
        <v>973171668.64127421</v>
      </c>
      <c r="F44" s="50">
        <f t="shared" si="10"/>
        <v>22734446.949999958</v>
      </c>
      <c r="G44" s="50">
        <f t="shared" si="10"/>
        <v>263785246.93999916</v>
      </c>
      <c r="H44" s="50">
        <f t="shared" si="10"/>
        <v>405488195.26719785</v>
      </c>
      <c r="I44" s="327"/>
      <c r="J44" s="327"/>
      <c r="K44" s="194">
        <f>K42-K43</f>
        <v>973171668.64127421</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1">SUM(C44:C45)</f>
        <v>0</v>
      </c>
      <c r="D46" s="530">
        <f t="shared" si="11"/>
        <v>941737276.8393333</v>
      </c>
      <c r="E46" s="528">
        <f t="shared" si="11"/>
        <v>973171668.64127421</v>
      </c>
      <c r="F46" s="528">
        <f t="shared" si="11"/>
        <v>22734446.949999958</v>
      </c>
      <c r="G46" s="528">
        <f t="shared" si="11"/>
        <v>263785246.93999916</v>
      </c>
      <c r="H46" s="528">
        <f t="shared" si="11"/>
        <v>405488195.26719785</v>
      </c>
      <c r="I46" s="273"/>
      <c r="J46" s="273"/>
      <c r="K46" s="529">
        <f>SUM(K44:K45)</f>
        <v>973171668.64127421</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2">C46+C47</f>
        <v>0</v>
      </c>
      <c r="D48" s="77">
        <f t="shared" si="12"/>
        <v>941737276.8393333</v>
      </c>
      <c r="E48" s="76">
        <f t="shared" si="12"/>
        <v>973171668.64127421</v>
      </c>
      <c r="F48" s="76">
        <f t="shared" si="12"/>
        <v>22734446.949999958</v>
      </c>
      <c r="G48" s="76">
        <f t="shared" si="12"/>
        <v>263785246.93999916</v>
      </c>
      <c r="H48" s="76">
        <f t="shared" si="12"/>
        <v>405488195.26719785</v>
      </c>
      <c r="I48" s="334"/>
      <c r="J48" s="334"/>
      <c r="K48" s="234">
        <f>K46+K47</f>
        <v>973171668.64127421</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3">C22+SUM(C39:C41)</f>
        <v>0</v>
      </c>
      <c r="D53" s="62">
        <f t="shared" si="13"/>
        <v>6443701838.8720617</v>
      </c>
      <c r="E53" s="62">
        <f t="shared" si="13"/>
        <v>6532699838.8720617</v>
      </c>
      <c r="F53" s="62">
        <f t="shared" si="13"/>
        <v>462051425.97000003</v>
      </c>
      <c r="G53" s="62">
        <f t="shared" si="13"/>
        <v>2571416047.3499999</v>
      </c>
      <c r="H53" s="62">
        <f t="shared" si="13"/>
        <v>2721958266.1966925</v>
      </c>
      <c r="I53" s="62"/>
      <c r="J53" s="62"/>
      <c r="K53" s="62">
        <f>K22+SUM(K39:K41)</f>
        <v>6532699838.8720617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47" activePane="bottomRight" state="frozen"/>
      <selection pane="topRight"/>
      <selection pane="bottomLeft"/>
      <selection pane="bottomRight" activeCell="H74" sqref="H74"/>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5" t="str">
        <f>muni&amp; " - "&amp;S71D&amp; " - "&amp;date</f>
        <v>KZN225 Msunduzi - Table C5 Monthly Budget Statement - Capital Expenditure (municipal vote, functional classification and funding) - M05 November</v>
      </c>
      <c r="B1" s="1045"/>
      <c r="C1" s="1045"/>
      <c r="D1" s="1045"/>
      <c r="E1" s="1045"/>
      <c r="F1" s="1045"/>
      <c r="G1" s="1045"/>
      <c r="H1" s="1045"/>
      <c r="I1" s="1045"/>
      <c r="J1" s="1045"/>
      <c r="K1" s="1045"/>
    </row>
    <row r="2" spans="1:12" x14ac:dyDescent="0.25">
      <c r="A2" s="1043" t="str">
        <f>Vdesc</f>
        <v>Vote Description</v>
      </c>
      <c r="B2" s="1052" t="str">
        <f>head27</f>
        <v>Ref</v>
      </c>
      <c r="C2" s="139" t="str">
        <f>Head1</f>
        <v>2019/20</v>
      </c>
      <c r="D2" s="245" t="str">
        <f>Head2</f>
        <v>Budget Year 2020/21</v>
      </c>
      <c r="E2" s="229"/>
      <c r="F2" s="229"/>
      <c r="G2" s="229"/>
      <c r="H2" s="229"/>
      <c r="I2" s="229"/>
      <c r="J2" s="229"/>
      <c r="K2" s="230"/>
    </row>
    <row r="3" spans="1:12" ht="25.5" x14ac:dyDescent="0.25">
      <c r="A3" s="1044"/>
      <c r="B3" s="1053"/>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3800000</v>
      </c>
      <c r="F6" s="47">
        <f>'C5C'!F7</f>
        <v>0</v>
      </c>
      <c r="G6" s="47">
        <f>'C5C'!G7</f>
        <v>7094.85</v>
      </c>
      <c r="H6" s="47">
        <f>'C5C'!H7</f>
        <v>1583333.3333333335</v>
      </c>
      <c r="I6" s="44">
        <f>G6-H6</f>
        <v>-1576238.4833333334</v>
      </c>
      <c r="J6" s="330">
        <f>IF(I6=0,"",I6/H6)</f>
        <v>-0.9955190421052631</v>
      </c>
      <c r="K6" s="144">
        <f>'C5C'!K7</f>
        <v>3800000</v>
      </c>
      <c r="L6" s="100"/>
    </row>
    <row r="7" spans="1:12" ht="13.5" customHeight="1" x14ac:dyDescent="0.25">
      <c r="A7" s="407" t="str">
        <f>'Org structure'!A3</f>
        <v>Vote 2 - City Finance</v>
      </c>
      <c r="B7" s="419"/>
      <c r="C7" s="648">
        <f>'C5C'!C12</f>
        <v>0</v>
      </c>
      <c r="D7" s="670">
        <f>'C5C'!D12</f>
        <v>12500000</v>
      </c>
      <c r="E7" s="408">
        <f>'C5C'!E12</f>
        <v>12500000</v>
      </c>
      <c r="F7" s="408">
        <f>'C5C'!F12</f>
        <v>0</v>
      </c>
      <c r="G7" s="408">
        <f>'C5C'!G12</f>
        <v>205438.76</v>
      </c>
      <c r="H7" s="408">
        <f>'C5C'!H12</f>
        <v>5208333.333333333</v>
      </c>
      <c r="I7" s="44">
        <f>G7-H7</f>
        <v>-5002894.5733333332</v>
      </c>
      <c r="J7" s="330">
        <f>IF(I7=0,"",I7/H7)</f>
        <v>-0.96055575808000004</v>
      </c>
      <c r="K7" s="642">
        <f>'C5C'!K12</f>
        <v>12500000</v>
      </c>
      <c r="L7" s="100"/>
    </row>
    <row r="8" spans="1:12" ht="13.5" customHeight="1" x14ac:dyDescent="0.25">
      <c r="A8" s="407" t="str">
        <f>'Org structure'!A4</f>
        <v>Vote 3 - Community Services and Social Equity</v>
      </c>
      <c r="B8" s="419"/>
      <c r="C8" s="648">
        <f>'C5C'!C18</f>
        <v>0</v>
      </c>
      <c r="D8" s="670">
        <f>'C5C'!D18</f>
        <v>23812425</v>
      </c>
      <c r="E8" s="408">
        <f>'C5C'!E18</f>
        <v>23812425</v>
      </c>
      <c r="F8" s="408">
        <f>'C5C'!F18</f>
        <v>228362.88</v>
      </c>
      <c r="G8" s="408">
        <f>'C5C'!G18</f>
        <v>2524105.0299999998</v>
      </c>
      <c r="H8" s="408">
        <f>'C5C'!H18</f>
        <v>9921843.75</v>
      </c>
      <c r="I8" s="44">
        <f t="shared" ref="I8:I17" si="0">G8-H8</f>
        <v>-7397738.7200000007</v>
      </c>
      <c r="J8" s="330">
        <f t="shared" ref="J8:J17" si="1">IF(I8=0,"",I8/H8)</f>
        <v>-0.74560121146838265</v>
      </c>
      <c r="K8" s="642">
        <f>'C5C'!K18</f>
        <v>23812425</v>
      </c>
      <c r="L8" s="697"/>
    </row>
    <row r="9" spans="1:12" ht="13.5" customHeight="1" x14ac:dyDescent="0.25">
      <c r="A9" s="407" t="str">
        <f>'Org structure'!A5</f>
        <v>Vote 4 - Corporate Services</v>
      </c>
      <c r="B9" s="419"/>
      <c r="C9" s="648">
        <f>'C5C'!C23</f>
        <v>0</v>
      </c>
      <c r="D9" s="670">
        <f>'C5C'!D23</f>
        <v>0</v>
      </c>
      <c r="E9" s="408">
        <f>'C5C'!E23</f>
        <v>0</v>
      </c>
      <c r="F9" s="408">
        <f>'C5C'!F23</f>
        <v>0</v>
      </c>
      <c r="G9" s="408">
        <f>'C5C'!G23</f>
        <v>0</v>
      </c>
      <c r="H9" s="408">
        <f>'C5C'!H23</f>
        <v>0</v>
      </c>
      <c r="I9" s="44">
        <f t="shared" si="0"/>
        <v>0</v>
      </c>
      <c r="J9" s="330" t="str">
        <f t="shared" si="1"/>
        <v/>
      </c>
      <c r="K9" s="642">
        <f>'C5C'!K23</f>
        <v>0</v>
      </c>
      <c r="L9" s="697"/>
    </row>
    <row r="10" spans="1:12" ht="13.5" customHeight="1" x14ac:dyDescent="0.25">
      <c r="A10" s="407" t="str">
        <f>'Org structure'!A6</f>
        <v>Vote 5 - Infrastructure Services</v>
      </c>
      <c r="B10" s="419"/>
      <c r="C10" s="648">
        <f>'C5C'!C29</f>
        <v>0</v>
      </c>
      <c r="D10" s="670">
        <f>'C5C'!D29</f>
        <v>168455000</v>
      </c>
      <c r="E10" s="408">
        <f>'C5C'!E29</f>
        <v>168455000</v>
      </c>
      <c r="F10" s="408">
        <f>'C5C'!F29</f>
        <v>35419773.359999999</v>
      </c>
      <c r="G10" s="408">
        <f>'C5C'!G29</f>
        <v>75805286.390000001</v>
      </c>
      <c r="H10" s="408">
        <f>'C5C'!H29</f>
        <v>70189583.333333343</v>
      </c>
      <c r="I10" s="44">
        <f t="shared" si="0"/>
        <v>5615703.0566666573</v>
      </c>
      <c r="J10" s="330">
        <f t="shared" si="1"/>
        <v>8.0007642017155767E-2</v>
      </c>
      <c r="K10" s="642">
        <f>'C5C'!K29</f>
        <v>168455000</v>
      </c>
      <c r="L10" s="697"/>
    </row>
    <row r="11" spans="1:12" ht="13.5" customHeight="1" x14ac:dyDescent="0.25">
      <c r="A11" s="407" t="str">
        <f>'Org structure'!A7</f>
        <v>Vote 6 - Sustainable Development and City Enterprises</v>
      </c>
      <c r="B11" s="419"/>
      <c r="C11" s="648">
        <f>'C5C'!C35</f>
        <v>0</v>
      </c>
      <c r="D11" s="670">
        <f>'C5C'!D35</f>
        <v>300600156</v>
      </c>
      <c r="E11" s="408">
        <f>'C5C'!E35</f>
        <v>300600156</v>
      </c>
      <c r="F11" s="408">
        <f>'C5C'!F35</f>
        <v>11872686.689999999</v>
      </c>
      <c r="G11" s="408">
        <f>'C5C'!G35</f>
        <v>29331639.269999996</v>
      </c>
      <c r="H11" s="408">
        <f>'C5C'!H35</f>
        <v>125250064.99999999</v>
      </c>
      <c r="I11" s="44">
        <f t="shared" si="0"/>
        <v>-95918425.729999989</v>
      </c>
      <c r="J11" s="330">
        <f t="shared" si="1"/>
        <v>-0.76581537686227952</v>
      </c>
      <c r="K11" s="642">
        <f>'C5C'!K35</f>
        <v>300600156</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509167581</v>
      </c>
      <c r="F21" s="430">
        <f t="shared" si="2"/>
        <v>47520822.93</v>
      </c>
      <c r="G21" s="430">
        <f t="shared" si="2"/>
        <v>107873564.3</v>
      </c>
      <c r="H21" s="430">
        <f t="shared" si="2"/>
        <v>212153158.75</v>
      </c>
      <c r="I21" s="430">
        <f t="shared" si="2"/>
        <v>-104279594.45</v>
      </c>
      <c r="J21" s="431">
        <f>IF(I21=0,"",I21/H21)</f>
        <v>-0.49152977530201397</v>
      </c>
      <c r="K21" s="513">
        <f>SUM(K6:K20)</f>
        <v>509167581</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0</v>
      </c>
      <c r="F24" s="44">
        <f>'C5C'!F149</f>
        <v>0</v>
      </c>
      <c r="G24" s="44">
        <f>'C5C'!G149</f>
        <v>1135600</v>
      </c>
      <c r="H24" s="44">
        <f>'C5C'!H149</f>
        <v>0</v>
      </c>
      <c r="I24" s="44">
        <f>'C5C'!I149</f>
        <v>1135600</v>
      </c>
      <c r="J24" s="330" t="e">
        <f>IF(I24=0,"",I24/H24)</f>
        <v>#DIV/0!</v>
      </c>
      <c r="K24" s="144">
        <f>'C5C'!K149</f>
        <v>0</v>
      </c>
      <c r="L24" s="100"/>
    </row>
    <row r="25" spans="1:12" ht="12.75" customHeight="1" x14ac:dyDescent="0.25">
      <c r="A25" s="407" t="str">
        <f>'Org structure'!A3</f>
        <v>Vote 2 - City Finance</v>
      </c>
      <c r="B25" s="419"/>
      <c r="C25" s="134">
        <f>'C5C'!C160</f>
        <v>0</v>
      </c>
      <c r="D25" s="258">
        <f>'C5C'!D160</f>
        <v>15000000</v>
      </c>
      <c r="E25" s="44">
        <f>'C5C'!E160</f>
        <v>15800000</v>
      </c>
      <c r="F25" s="44">
        <f>'C5C'!F160</f>
        <v>97000</v>
      </c>
      <c r="G25" s="44">
        <f>'C5C'!G160</f>
        <v>0</v>
      </c>
      <c r="H25" s="44">
        <f>'C5C'!H160</f>
        <v>6583333.333333333</v>
      </c>
      <c r="I25" s="44">
        <f>'C5C'!I160</f>
        <v>-6583333.333333333</v>
      </c>
      <c r="J25" s="330">
        <f t="shared" ref="J25:J39" si="3">IF(I25=0,"",I25/H25)</f>
        <v>-1</v>
      </c>
      <c r="K25" s="144">
        <f>'C5C'!K160</f>
        <v>15800000</v>
      </c>
      <c r="L25" s="100"/>
    </row>
    <row r="26" spans="1:12" ht="12.75" customHeight="1" x14ac:dyDescent="0.25">
      <c r="A26" s="407" t="str">
        <f>'Org structure'!A4</f>
        <v>Vote 3 - Community Services and Social Equity</v>
      </c>
      <c r="B26" s="419"/>
      <c r="C26" s="134">
        <f>'C5C'!C171</f>
        <v>0</v>
      </c>
      <c r="D26" s="258">
        <f>'C5C'!D171</f>
        <v>13700000</v>
      </c>
      <c r="E26" s="44">
        <f>'C5C'!E171</f>
        <v>33700000</v>
      </c>
      <c r="F26" s="44">
        <f>'C5C'!F171</f>
        <v>6117365.3600000003</v>
      </c>
      <c r="G26" s="44">
        <f>'C5C'!G171</f>
        <v>10453375.890000001</v>
      </c>
      <c r="H26" s="44">
        <f>'C5C'!H171</f>
        <v>14041666.666666668</v>
      </c>
      <c r="I26" s="44">
        <f>'C5C'!I171</f>
        <v>-3588290.7766666673</v>
      </c>
      <c r="J26" s="330">
        <f t="shared" si="3"/>
        <v>-0.25554593068249259</v>
      </c>
      <c r="K26" s="144">
        <f>'C5C'!K171</f>
        <v>33700000</v>
      </c>
      <c r="L26" s="697"/>
    </row>
    <row r="27" spans="1:12" ht="12.75" customHeight="1" x14ac:dyDescent="0.25">
      <c r="A27" s="407" t="str">
        <f>'Org structure'!A5</f>
        <v>Vote 4 - Corporate Services</v>
      </c>
      <c r="B27" s="419"/>
      <c r="C27" s="134">
        <f>'C5C'!C182</f>
        <v>0</v>
      </c>
      <c r="D27" s="258">
        <f>'C5C'!D182</f>
        <v>0</v>
      </c>
      <c r="E27" s="44">
        <f>'C5C'!E182</f>
        <v>0</v>
      </c>
      <c r="F27" s="44">
        <f>'C5C'!F182</f>
        <v>0</v>
      </c>
      <c r="G27" s="44">
        <f>'C5C'!G182</f>
        <v>7200</v>
      </c>
      <c r="H27" s="44">
        <f>'C5C'!H182</f>
        <v>0</v>
      </c>
      <c r="I27" s="44">
        <f>'C5C'!I182</f>
        <v>7200</v>
      </c>
      <c r="J27" s="330" t="e">
        <f t="shared" si="3"/>
        <v>#DIV/0!</v>
      </c>
      <c r="K27" s="144">
        <f>'C5C'!K182</f>
        <v>0</v>
      </c>
      <c r="L27" s="697"/>
    </row>
    <row r="28" spans="1:12" ht="12.75" customHeight="1" x14ac:dyDescent="0.25">
      <c r="A28" s="407" t="str">
        <f>'Org structure'!A6</f>
        <v>Vote 5 - Infrastructure Services</v>
      </c>
      <c r="B28" s="419"/>
      <c r="C28" s="134">
        <f>'C5C'!C193</f>
        <v>0</v>
      </c>
      <c r="D28" s="258">
        <f>'C5C'!D193</f>
        <v>33000000</v>
      </c>
      <c r="E28" s="44">
        <f>'C5C'!E193</f>
        <v>53300000</v>
      </c>
      <c r="F28" s="44">
        <f>'C5C'!F193</f>
        <v>10131793.559999999</v>
      </c>
      <c r="G28" s="44">
        <f>'C5C'!G193</f>
        <v>61052517.960000016</v>
      </c>
      <c r="H28" s="44">
        <f>'C5C'!H193</f>
        <v>22208333.333333336</v>
      </c>
      <c r="I28" s="44">
        <f>'C5C'!I193</f>
        <v>38844184.62666668</v>
      </c>
      <c r="J28" s="330">
        <f t="shared" si="3"/>
        <v>1.7490814841275801</v>
      </c>
      <c r="K28" s="144">
        <f>'C5C'!K193</f>
        <v>53300000</v>
      </c>
      <c r="L28" s="697"/>
    </row>
    <row r="29" spans="1:12" ht="12.75" customHeight="1" x14ac:dyDescent="0.25">
      <c r="A29" s="407" t="str">
        <f>'Org structure'!A7</f>
        <v>Vote 6 - Sustainable Development and City Enterprises</v>
      </c>
      <c r="B29" s="419"/>
      <c r="C29" s="134">
        <f>'C5C'!C204</f>
        <v>0</v>
      </c>
      <c r="D29" s="258">
        <f>'C5C'!D204</f>
        <v>10024000</v>
      </c>
      <c r="E29" s="44">
        <f>'C5C'!E204</f>
        <v>10024000</v>
      </c>
      <c r="F29" s="44">
        <f>'C5C'!F204</f>
        <v>1050024.72</v>
      </c>
      <c r="G29" s="44">
        <f>'C5C'!G204</f>
        <v>-32598.679999999935</v>
      </c>
      <c r="H29" s="44">
        <f>'C5C'!H204</f>
        <v>4176666.666666667</v>
      </c>
      <c r="I29" s="44">
        <f>'C5C'!I204</f>
        <v>-4209265.3466666667</v>
      </c>
      <c r="J29" s="330">
        <f t="shared" si="3"/>
        <v>-1.0078049513168394</v>
      </c>
      <c r="K29" s="144">
        <f>'C5C'!K204</f>
        <v>10024000</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112824000</v>
      </c>
      <c r="F39" s="161">
        <f t="shared" si="4"/>
        <v>17396183.639999997</v>
      </c>
      <c r="G39" s="161">
        <f t="shared" si="4"/>
        <v>72616095.170000017</v>
      </c>
      <c r="H39" s="161">
        <f t="shared" si="4"/>
        <v>47010000</v>
      </c>
      <c r="I39" s="73">
        <f t="shared" si="4"/>
        <v>25606095.170000013</v>
      </c>
      <c r="J39" s="331">
        <f t="shared" si="3"/>
        <v>0.54469464305466953</v>
      </c>
      <c r="K39" s="263">
        <f>SUM(K24:K38)</f>
        <v>112824000</v>
      </c>
      <c r="L39" s="100"/>
    </row>
    <row r="40" spans="1:12" ht="12.75" customHeight="1" x14ac:dyDescent="0.25">
      <c r="A40" s="92" t="s">
        <v>761</v>
      </c>
      <c r="B40" s="422"/>
      <c r="C40" s="243">
        <f t="shared" ref="C40:I40" si="5">C39+C21</f>
        <v>0</v>
      </c>
      <c r="D40" s="260">
        <f t="shared" si="5"/>
        <v>580891581</v>
      </c>
      <c r="E40" s="73">
        <f t="shared" si="5"/>
        <v>621991581</v>
      </c>
      <c r="F40" s="73">
        <f t="shared" si="5"/>
        <v>64917006.569999993</v>
      </c>
      <c r="G40" s="73">
        <f t="shared" si="5"/>
        <v>180489659.47000003</v>
      </c>
      <c r="H40" s="73">
        <f t="shared" si="5"/>
        <v>259163158.75</v>
      </c>
      <c r="I40" s="73">
        <f t="shared" si="5"/>
        <v>-78673499.279999986</v>
      </c>
      <c r="J40" s="331">
        <f>IF(I40=0,"",I40/H40)</f>
        <v>-0.30356745017100156</v>
      </c>
      <c r="K40" s="145">
        <f>K39+K21</f>
        <v>621991581</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33300000</v>
      </c>
      <c r="F43" s="637">
        <f t="shared" si="6"/>
        <v>6442728.2400000002</v>
      </c>
      <c r="G43" s="637">
        <f t="shared" si="6"/>
        <v>7693861.8499999996</v>
      </c>
      <c r="H43" s="637">
        <f t="shared" si="6"/>
        <v>13875000.000000002</v>
      </c>
      <c r="I43" s="44">
        <f t="shared" ref="I43:I62" si="7">G43-H43</f>
        <v>-6181138.1500000022</v>
      </c>
      <c r="J43" s="330">
        <f>IF(I43=0,"",I43/H43)</f>
        <v>-0.44548743423423431</v>
      </c>
      <c r="K43" s="641">
        <f>SUM(K44:K46)</f>
        <v>33300000</v>
      </c>
      <c r="L43" s="100"/>
    </row>
    <row r="44" spans="1:12" ht="12.75" customHeight="1" x14ac:dyDescent="0.25">
      <c r="A44" s="416" t="s">
        <v>108</v>
      </c>
      <c r="B44" s="419"/>
      <c r="C44" s="735"/>
      <c r="D44" s="753">
        <v>5000000</v>
      </c>
      <c r="E44" s="733">
        <v>5000000</v>
      </c>
      <c r="F44" s="733">
        <v>6345728.2400000002</v>
      </c>
      <c r="G44" s="733">
        <v>7488423.0899999999</v>
      </c>
      <c r="H44" s="733">
        <f>E44/12*5</f>
        <v>2083333.3333333335</v>
      </c>
      <c r="I44" s="44">
        <f t="shared" si="7"/>
        <v>5405089.7566666659</v>
      </c>
      <c r="J44" s="330">
        <f t="shared" ref="J44:J63" si="8">IF(I44=0,"",I44/H44)</f>
        <v>2.5944430831999994</v>
      </c>
      <c r="K44" s="735">
        <f>E44</f>
        <v>5000000</v>
      </c>
      <c r="L44" s="100"/>
    </row>
    <row r="45" spans="1:12" ht="12.75" customHeight="1" x14ac:dyDescent="0.25">
      <c r="A45" s="416" t="s">
        <v>1123</v>
      </c>
      <c r="B45" s="419"/>
      <c r="C45" s="754"/>
      <c r="D45" s="755">
        <v>27500000</v>
      </c>
      <c r="E45" s="756">
        <v>28300000</v>
      </c>
      <c r="F45" s="756">
        <v>97000</v>
      </c>
      <c r="G45" s="756">
        <v>205438.76</v>
      </c>
      <c r="H45" s="756">
        <f>E45/12*5</f>
        <v>11791666.666666668</v>
      </c>
      <c r="I45" s="44">
        <f t="shared" si="7"/>
        <v>-11586227.906666668</v>
      </c>
      <c r="J45" s="330">
        <f t="shared" si="8"/>
        <v>-0.98257763166077738</v>
      </c>
      <c r="K45" s="754">
        <f>E45</f>
        <v>28300000</v>
      </c>
      <c r="L45" s="100"/>
    </row>
    <row r="46" spans="1:12" ht="12.75" customHeight="1" x14ac:dyDescent="0.25">
      <c r="A46" s="416" t="s">
        <v>1134</v>
      </c>
      <c r="B46" s="419"/>
      <c r="C46" s="735"/>
      <c r="D46" s="753"/>
      <c r="E46" s="733"/>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334874092</v>
      </c>
      <c r="F47" s="637">
        <f t="shared" si="9"/>
        <v>0</v>
      </c>
      <c r="G47" s="637">
        <f t="shared" si="9"/>
        <v>5853664.0799999991</v>
      </c>
      <c r="H47" s="637">
        <f t="shared" si="9"/>
        <v>139530871.66666666</v>
      </c>
      <c r="I47" s="44">
        <f t="shared" si="7"/>
        <v>-133677207.58666666</v>
      </c>
      <c r="J47" s="330">
        <f t="shared" si="8"/>
        <v>-0.95804753449842872</v>
      </c>
      <c r="K47" s="641">
        <f>SUM(K48:K52)</f>
        <v>334874092</v>
      </c>
      <c r="L47" s="100"/>
    </row>
    <row r="48" spans="1:12" ht="12.75" customHeight="1" x14ac:dyDescent="0.25">
      <c r="A48" s="416" t="s">
        <v>110</v>
      </c>
      <c r="B48" s="419"/>
      <c r="C48" s="735"/>
      <c r="D48" s="753">
        <v>45972000</v>
      </c>
      <c r="E48" s="733">
        <v>55972000</v>
      </c>
      <c r="F48" s="733"/>
      <c r="G48" s="733">
        <v>5141133.4699999988</v>
      </c>
      <c r="H48" s="733">
        <f>E48/12*5</f>
        <v>23321666.666666664</v>
      </c>
      <c r="I48" s="44">
        <f t="shared" si="7"/>
        <v>-18180533.196666665</v>
      </c>
      <c r="J48" s="330">
        <f t="shared" si="8"/>
        <v>-0.77955548617165726</v>
      </c>
      <c r="K48" s="735">
        <f>E48</f>
        <v>55972000</v>
      </c>
      <c r="L48" s="100"/>
    </row>
    <row r="49" spans="1:12" ht="12.75" customHeight="1" x14ac:dyDescent="0.25">
      <c r="A49" s="416" t="s">
        <v>111</v>
      </c>
      <c r="B49" s="419"/>
      <c r="C49" s="735"/>
      <c r="D49" s="753"/>
      <c r="E49" s="733"/>
      <c r="F49" s="733"/>
      <c r="G49" s="733">
        <v>712530.61</v>
      </c>
      <c r="H49" s="733"/>
      <c r="I49" s="44">
        <f t="shared" si="7"/>
        <v>712530.61</v>
      </c>
      <c r="J49" s="330" t="e">
        <f t="shared" si="8"/>
        <v>#DIV/0!</v>
      </c>
      <c r="K49" s="735"/>
      <c r="L49" s="100"/>
    </row>
    <row r="50" spans="1:12" ht="12.75" customHeight="1" x14ac:dyDescent="0.25">
      <c r="A50" s="416" t="s">
        <v>112</v>
      </c>
      <c r="B50" s="419"/>
      <c r="C50" s="735"/>
      <c r="D50" s="753"/>
      <c r="E50" s="733"/>
      <c r="F50" s="733"/>
      <c r="G50" s="733"/>
      <c r="H50" s="733"/>
      <c r="I50" s="44">
        <f t="shared" si="7"/>
        <v>0</v>
      </c>
      <c r="J50" s="330" t="str">
        <f t="shared" si="8"/>
        <v/>
      </c>
      <c r="K50" s="735"/>
      <c r="L50" s="100"/>
    </row>
    <row r="51" spans="1:12" ht="12.75" customHeight="1" x14ac:dyDescent="0.25">
      <c r="A51" s="416" t="s">
        <v>711</v>
      </c>
      <c r="B51" s="419"/>
      <c r="C51" s="735"/>
      <c r="D51" s="753">
        <v>278902092</v>
      </c>
      <c r="E51" s="733">
        <v>278902092</v>
      </c>
      <c r="F51" s="733"/>
      <c r="G51" s="733"/>
      <c r="H51" s="733">
        <f>E51/12*5</f>
        <v>116209205</v>
      </c>
      <c r="I51" s="44">
        <f t="shared" si="7"/>
        <v>-116209205</v>
      </c>
      <c r="J51" s="330">
        <f t="shared" si="8"/>
        <v>-1</v>
      </c>
      <c r="K51" s="735">
        <f>E51</f>
        <v>278902092</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114572064</v>
      </c>
      <c r="F53" s="637">
        <f t="shared" si="10"/>
        <v>37094008.25</v>
      </c>
      <c r="G53" s="637">
        <f t="shared" si="10"/>
        <v>99281904.659999996</v>
      </c>
      <c r="H53" s="637">
        <f t="shared" si="10"/>
        <v>47738360</v>
      </c>
      <c r="I53" s="44">
        <f t="shared" si="7"/>
        <v>51543544.659999996</v>
      </c>
      <c r="J53" s="330">
        <f t="shared" si="8"/>
        <v>1.0797091617726289</v>
      </c>
      <c r="K53" s="641">
        <f>SUM(K54:K56)</f>
        <v>114572064</v>
      </c>
      <c r="L53" s="100"/>
    </row>
    <row r="54" spans="1:12" ht="12.75" customHeight="1" x14ac:dyDescent="0.25">
      <c r="A54" s="416" t="s">
        <v>114</v>
      </c>
      <c r="B54" s="419"/>
      <c r="C54" s="735"/>
      <c r="D54" s="753">
        <v>13936064</v>
      </c>
      <c r="E54" s="733">
        <v>13936064</v>
      </c>
      <c r="F54" s="733">
        <v>12922711.41</v>
      </c>
      <c r="G54" s="733">
        <v>30381663.989999998</v>
      </c>
      <c r="H54" s="733">
        <f>E54/12*5</f>
        <v>5806693.333333334</v>
      </c>
      <c r="I54" s="44">
        <f t="shared" si="7"/>
        <v>24574970.656666666</v>
      </c>
      <c r="J54" s="330">
        <f t="shared" si="8"/>
        <v>4.2321798734563787</v>
      </c>
      <c r="K54" s="735">
        <f>E54</f>
        <v>13936064</v>
      </c>
      <c r="L54" s="100"/>
    </row>
    <row r="55" spans="1:12" ht="12.75" customHeight="1" x14ac:dyDescent="0.25">
      <c r="A55" s="416" t="s">
        <v>115</v>
      </c>
      <c r="B55" s="419"/>
      <c r="C55" s="735"/>
      <c r="D55" s="753">
        <v>90636000</v>
      </c>
      <c r="E55" s="733">
        <v>100636000</v>
      </c>
      <c r="F55" s="733">
        <v>24171296.84</v>
      </c>
      <c r="G55" s="733">
        <v>68900240.670000002</v>
      </c>
      <c r="H55" s="733">
        <f>E55/12*5</f>
        <v>41931666.666666664</v>
      </c>
      <c r="I55" s="44">
        <f t="shared" si="7"/>
        <v>26968574.003333338</v>
      </c>
      <c r="J55" s="330">
        <f t="shared" si="8"/>
        <v>0.64315530831909073</v>
      </c>
      <c r="K55" s="735">
        <f>E55</f>
        <v>100636000</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1">SUM(C58:C61)</f>
        <v>0</v>
      </c>
      <c r="D57" s="669">
        <f t="shared" si="11"/>
        <v>116445425</v>
      </c>
      <c r="E57" s="637">
        <f t="shared" si="11"/>
        <v>136745425</v>
      </c>
      <c r="F57" s="637">
        <f t="shared" si="11"/>
        <v>21380270.079999998</v>
      </c>
      <c r="G57" s="637">
        <f t="shared" si="11"/>
        <v>68372803.390000001</v>
      </c>
      <c r="H57" s="637">
        <f t="shared" si="11"/>
        <v>56977260.416666664</v>
      </c>
      <c r="I57" s="44">
        <f t="shared" si="7"/>
        <v>11395542.973333336</v>
      </c>
      <c r="J57" s="330">
        <f t="shared" si="8"/>
        <v>0.20000159519779187</v>
      </c>
      <c r="K57" s="641">
        <f>SUM(K58:K61)</f>
        <v>136745425</v>
      </c>
      <c r="L57" s="100"/>
    </row>
    <row r="58" spans="1:12" ht="12.75" customHeight="1" x14ac:dyDescent="0.25">
      <c r="A58" s="416" t="s">
        <v>1191</v>
      </c>
      <c r="B58" s="419"/>
      <c r="C58" s="735"/>
      <c r="D58" s="753">
        <v>12500000</v>
      </c>
      <c r="E58" s="733">
        <v>22800000</v>
      </c>
      <c r="F58" s="733">
        <v>352047.06</v>
      </c>
      <c r="G58" s="733">
        <v>8352047.0599999996</v>
      </c>
      <c r="H58" s="733">
        <f>E58/12*5</f>
        <v>9500000</v>
      </c>
      <c r="I58" s="44">
        <f t="shared" si="7"/>
        <v>-1147952.9400000004</v>
      </c>
      <c r="J58" s="330">
        <f t="shared" si="8"/>
        <v>-0.12083715157894741</v>
      </c>
      <c r="K58" s="735">
        <f>E58</f>
        <v>22800000</v>
      </c>
      <c r="L58" s="100"/>
    </row>
    <row r="59" spans="1:12" ht="12.75" customHeight="1" x14ac:dyDescent="0.25">
      <c r="A59" s="416" t="s">
        <v>1195</v>
      </c>
      <c r="B59" s="419"/>
      <c r="C59" s="735"/>
      <c r="D59" s="753">
        <v>71931425</v>
      </c>
      <c r="E59" s="733">
        <v>71931425</v>
      </c>
      <c r="F59" s="733">
        <v>9608187.7399999984</v>
      </c>
      <c r="G59" s="733">
        <v>28905173.779999997</v>
      </c>
      <c r="H59" s="733">
        <f>E59/12*5</f>
        <v>29971427.083333336</v>
      </c>
      <c r="I59" s="44">
        <f t="shared" si="7"/>
        <v>-1066253.3033333384</v>
      </c>
      <c r="J59" s="330">
        <f t="shared" si="8"/>
        <v>-3.5575660123513639E-2</v>
      </c>
      <c r="K59" s="735">
        <f>E59</f>
        <v>71931425</v>
      </c>
      <c r="L59" s="100"/>
    </row>
    <row r="60" spans="1:12" ht="12.75" customHeight="1" x14ac:dyDescent="0.25">
      <c r="A60" s="416" t="s">
        <v>118</v>
      </c>
      <c r="B60" s="419"/>
      <c r="C60" s="754"/>
      <c r="D60" s="755">
        <v>27514000</v>
      </c>
      <c r="E60" s="756">
        <v>27514000</v>
      </c>
      <c r="F60" s="756">
        <v>6598014.5899999999</v>
      </c>
      <c r="G60" s="756">
        <v>24084903.899999999</v>
      </c>
      <c r="H60" s="756">
        <f>E60/12*5</f>
        <v>11464166.666666668</v>
      </c>
      <c r="I60" s="44">
        <f t="shared" si="7"/>
        <v>12620737.233333331</v>
      </c>
      <c r="J60" s="330">
        <f t="shared" si="8"/>
        <v>1.1008857076397467</v>
      </c>
      <c r="K60" s="754">
        <f>E60</f>
        <v>27514000</v>
      </c>
      <c r="L60" s="100"/>
    </row>
    <row r="61" spans="1:12" ht="12.75" customHeight="1" x14ac:dyDescent="0.25">
      <c r="A61" s="416" t="s">
        <v>119</v>
      </c>
      <c r="B61" s="419"/>
      <c r="C61" s="735"/>
      <c r="D61" s="753">
        <v>4500000</v>
      </c>
      <c r="E61" s="733">
        <v>14500000</v>
      </c>
      <c r="F61" s="733">
        <v>4822020.6900000004</v>
      </c>
      <c r="G61" s="733">
        <v>7030678.6500000004</v>
      </c>
      <c r="H61" s="733">
        <f>E61/12*5</f>
        <v>6041666.666666666</v>
      </c>
      <c r="I61" s="44">
        <f t="shared" si="7"/>
        <v>989011.98333333433</v>
      </c>
      <c r="J61" s="330">
        <f t="shared" si="8"/>
        <v>0.16369853517241398</v>
      </c>
      <c r="K61" s="735">
        <f>E61</f>
        <v>14500000</v>
      </c>
      <c r="L61" s="100"/>
    </row>
    <row r="62" spans="1:12" ht="12.75" customHeight="1" x14ac:dyDescent="0.25">
      <c r="A62" s="414" t="s">
        <v>718</v>
      </c>
      <c r="B62" s="419"/>
      <c r="C62" s="735"/>
      <c r="D62" s="753">
        <v>2500000</v>
      </c>
      <c r="E62" s="733">
        <v>2500000</v>
      </c>
      <c r="F62" s="733"/>
      <c r="G62" s="733">
        <v>-712604.14999999991</v>
      </c>
      <c r="H62" s="733">
        <f>E62/12*5</f>
        <v>1041666.6666666667</v>
      </c>
      <c r="I62" s="44">
        <f t="shared" si="7"/>
        <v>-1754270.8166666667</v>
      </c>
      <c r="J62" s="330">
        <f t="shared" si="8"/>
        <v>-1.6840999839999999</v>
      </c>
      <c r="K62" s="735">
        <f>E62</f>
        <v>2500000</v>
      </c>
      <c r="L62" s="100"/>
    </row>
    <row r="63" spans="1:12" ht="12.75" customHeight="1" x14ac:dyDescent="0.25">
      <c r="A63" s="537" t="s">
        <v>1213</v>
      </c>
      <c r="B63" s="539">
        <v>3</v>
      </c>
      <c r="C63" s="540">
        <f>C43+C47+C53+C57+C62</f>
        <v>0</v>
      </c>
      <c r="D63" s="541">
        <f t="shared" ref="D63:I63" si="12">D43+D47+D53+D57+D62</f>
        <v>580891581</v>
      </c>
      <c r="E63" s="478">
        <f t="shared" si="12"/>
        <v>621991581</v>
      </c>
      <c r="F63" s="478">
        <f t="shared" si="12"/>
        <v>64917006.57</v>
      </c>
      <c r="G63" s="478">
        <f t="shared" si="12"/>
        <v>180489629.83000001</v>
      </c>
      <c r="H63" s="478">
        <f t="shared" si="12"/>
        <v>259163158.74999997</v>
      </c>
      <c r="I63" s="478">
        <f t="shared" si="12"/>
        <v>-78673528.919999987</v>
      </c>
      <c r="J63" s="542">
        <f t="shared" si="8"/>
        <v>-0.3035675645391091</v>
      </c>
      <c r="K63" s="543">
        <f>K43+K47+K53+K57+K62</f>
        <v>621991581</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255267424.99999985</v>
      </c>
      <c r="F66" s="733">
        <v>50722396</v>
      </c>
      <c r="G66" s="733">
        <v>141023146.5</v>
      </c>
      <c r="H66" s="733">
        <f>E66/12*5</f>
        <v>106361427.08333327</v>
      </c>
      <c r="I66" s="44">
        <f t="shared" ref="I66:I74" si="13">G66-H66</f>
        <v>34661719.416666731</v>
      </c>
      <c r="J66" s="330">
        <f t="shared" ref="J66:J74" si="14">IF(I66=0,"",I66/H66)</f>
        <v>0.32588618230469557</v>
      </c>
      <c r="K66" s="735">
        <f>E66</f>
        <v>255267424.99999985</v>
      </c>
      <c r="L66" s="100"/>
    </row>
    <row r="67" spans="1:12" ht="12.75" customHeight="1" x14ac:dyDescent="0.25">
      <c r="A67" s="107" t="s">
        <v>603</v>
      </c>
      <c r="B67" s="169"/>
      <c r="C67" s="748"/>
      <c r="D67" s="753">
        <v>270624156</v>
      </c>
      <c r="E67" s="733">
        <v>270624156</v>
      </c>
      <c r="F67" s="733">
        <v>10076786</v>
      </c>
      <c r="G67" s="733">
        <v>29819654.789999999</v>
      </c>
      <c r="H67" s="733">
        <f>E67/12*5</f>
        <v>112760065</v>
      </c>
      <c r="I67" s="44">
        <f t="shared" si="13"/>
        <v>-82940410.210000008</v>
      </c>
      <c r="J67" s="330">
        <f t="shared" si="14"/>
        <v>-0.73554773323339262</v>
      </c>
      <c r="K67" s="735">
        <f>E67</f>
        <v>270624156</v>
      </c>
      <c r="L67" s="100"/>
    </row>
    <row r="68" spans="1:12" ht="12.75" customHeight="1" x14ac:dyDescent="0.25">
      <c r="A68" s="107" t="s">
        <v>604</v>
      </c>
      <c r="B68" s="169"/>
      <c r="C68" s="748"/>
      <c r="D68" s="753"/>
      <c r="E68" s="733"/>
      <c r="F68" s="733"/>
      <c r="G68" s="733"/>
      <c r="H68" s="733"/>
      <c r="I68" s="44">
        <f t="shared" si="13"/>
        <v>0</v>
      </c>
      <c r="J68" s="330" t="str">
        <f t="shared" si="14"/>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3"/>
        <v>0</v>
      </c>
      <c r="J69" s="335" t="str">
        <f t="shared" si="14"/>
        <v/>
      </c>
      <c r="K69" s="752"/>
      <c r="L69" s="100"/>
    </row>
    <row r="70" spans="1:12" ht="12.75" customHeight="1" x14ac:dyDescent="0.25">
      <c r="A70" s="692" t="s">
        <v>959</v>
      </c>
      <c r="B70" s="169"/>
      <c r="C70" s="109">
        <f t="shared" ref="C70:H70" si="15">SUM(C66:C69)</f>
        <v>0</v>
      </c>
      <c r="D70" s="259">
        <f t="shared" si="15"/>
        <v>525891580.99999988</v>
      </c>
      <c r="E70" s="50">
        <f t="shared" si="15"/>
        <v>525891580.99999988</v>
      </c>
      <c r="F70" s="50">
        <f t="shared" si="15"/>
        <v>60799182</v>
      </c>
      <c r="G70" s="50">
        <f t="shared" si="15"/>
        <v>170842801.28999999</v>
      </c>
      <c r="H70" s="50">
        <f t="shared" si="15"/>
        <v>219121492.08333325</v>
      </c>
      <c r="I70" s="50">
        <f t="shared" si="13"/>
        <v>-48278690.793333262</v>
      </c>
      <c r="J70" s="146">
        <f t="shared" si="14"/>
        <v>-0.22032841385989002</v>
      </c>
      <c r="K70" s="50">
        <f>SUM(K66:K69)</f>
        <v>525891580.99999988</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3"/>
        <v>0</v>
      </c>
      <c r="J72" s="330" t="str">
        <f t="shared" si="14"/>
        <v/>
      </c>
      <c r="K72" s="735"/>
      <c r="L72" s="100"/>
    </row>
    <row r="73" spans="1:12" ht="12.75" customHeight="1" x14ac:dyDescent="0.25">
      <c r="A73" s="106" t="s">
        <v>472</v>
      </c>
      <c r="B73" s="248"/>
      <c r="C73" s="749"/>
      <c r="D73" s="757">
        <v>55000000</v>
      </c>
      <c r="E73" s="751">
        <v>96100000</v>
      </c>
      <c r="F73" s="751">
        <v>4117824.5699999928</v>
      </c>
      <c r="G73" s="751">
        <v>9646858.1800000519</v>
      </c>
      <c r="H73" s="751">
        <f>E73/12*5</f>
        <v>40041666.666666664</v>
      </c>
      <c r="I73" s="99">
        <f t="shared" si="13"/>
        <v>-30394808.486666612</v>
      </c>
      <c r="J73" s="335">
        <f t="shared" si="14"/>
        <v>-0.75907950434963445</v>
      </c>
      <c r="K73" s="752">
        <f>E73</f>
        <v>96100000</v>
      </c>
      <c r="L73" s="100"/>
    </row>
    <row r="74" spans="1:12" ht="12.75" customHeight="1" x14ac:dyDescent="0.25">
      <c r="A74" s="538" t="s">
        <v>892</v>
      </c>
      <c r="B74" s="119"/>
      <c r="C74" s="244">
        <f t="shared" ref="C74:H74" si="16">+C70+C72+C73</f>
        <v>0</v>
      </c>
      <c r="D74" s="265">
        <f t="shared" si="16"/>
        <v>580891580.99999988</v>
      </c>
      <c r="E74" s="76">
        <f t="shared" si="16"/>
        <v>621991580.99999988</v>
      </c>
      <c r="F74" s="76">
        <f t="shared" si="16"/>
        <v>64917006.569999993</v>
      </c>
      <c r="G74" s="76">
        <f t="shared" si="16"/>
        <v>180489659.47000003</v>
      </c>
      <c r="H74" s="76">
        <f t="shared" si="16"/>
        <v>259163158.74999991</v>
      </c>
      <c r="I74" s="76">
        <f t="shared" si="13"/>
        <v>-78673499.279999882</v>
      </c>
      <c r="J74" s="333">
        <f t="shared" si="14"/>
        <v>-0.30356745017100123</v>
      </c>
      <c r="K74" s="234">
        <f>+K70+K72+K73</f>
        <v>621991580.99999988</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5" t="s">
        <v>143</v>
      </c>
      <c r="B77" s="1055"/>
      <c r="C77" s="1055"/>
      <c r="D77" s="1055"/>
      <c r="E77" s="1055"/>
      <c r="F77" s="1055"/>
      <c r="G77" s="1055"/>
      <c r="H77" s="1055"/>
      <c r="I77" s="1055"/>
      <c r="J77" s="1055"/>
      <c r="K77" s="1055"/>
    </row>
    <row r="78" spans="1:12" ht="12" customHeight="1" x14ac:dyDescent="0.25">
      <c r="A78" s="1055" t="s">
        <v>1215</v>
      </c>
      <c r="B78" s="1055"/>
      <c r="C78" s="1055"/>
      <c r="D78" s="1055"/>
      <c r="E78" s="1055"/>
      <c r="F78" s="1055"/>
      <c r="G78" s="1055"/>
      <c r="H78" s="1055"/>
      <c r="I78" s="1055"/>
      <c r="J78" s="1055"/>
      <c r="K78" s="1055"/>
    </row>
    <row r="79" spans="1:12" ht="12" customHeight="1" x14ac:dyDescent="0.25">
      <c r="A79" s="1056" t="s">
        <v>524</v>
      </c>
      <c r="B79" s="1055"/>
      <c r="C79" s="1055"/>
      <c r="D79" s="1055"/>
      <c r="E79" s="1055"/>
      <c r="F79" s="1055"/>
      <c r="G79" s="1055"/>
      <c r="H79" s="1055"/>
      <c r="I79" s="1055"/>
      <c r="J79" s="1055"/>
      <c r="K79" s="1055"/>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17">D40-D74</f>
        <v>0</v>
      </c>
      <c r="E86" s="693">
        <f t="shared" si="17"/>
        <v>0</v>
      </c>
      <c r="F86" s="693">
        <f t="shared" si="17"/>
        <v>0</v>
      </c>
      <c r="G86" s="693">
        <f t="shared" si="17"/>
        <v>0</v>
      </c>
      <c r="H86" s="693">
        <f t="shared" si="17"/>
        <v>0</v>
      </c>
      <c r="I86" s="693"/>
      <c r="J86" s="693"/>
      <c r="K86" s="693">
        <f t="shared" si="17"/>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Z354"/>
  <sheetViews>
    <sheetView showGridLines="0" showZeros="0" zoomScaleNormal="100" workbookViewId="0">
      <pane xSplit="2" ySplit="4" topLeftCell="C31" activePane="bottomRight" state="frozen"/>
      <selection pane="topRight"/>
      <selection pane="bottomLeft"/>
      <selection pane="bottomRight" activeCell="F205" sqref="F205:G209"/>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5" t="str">
        <f>muni&amp; " - "&amp;S71D&amp; " - "&amp;"A"&amp; " - "&amp;date</f>
        <v>KZN225 Msunduzi - Table C5 Monthly Budget Statement - Capital Expenditure (municipal vote, functional classification and funding) - A - M05 November</v>
      </c>
      <c r="B1" s="1045"/>
      <c r="C1" s="1045"/>
      <c r="D1" s="1045"/>
      <c r="E1" s="1045"/>
      <c r="F1" s="1045"/>
      <c r="G1" s="1045"/>
      <c r="H1" s="1045"/>
      <c r="I1" s="1045"/>
      <c r="J1" s="1045"/>
      <c r="K1" s="1045"/>
    </row>
    <row r="2" spans="1:23" ht="28.5" customHeight="1" x14ac:dyDescent="0.25">
      <c r="A2" s="435" t="str">
        <f>Vdesc</f>
        <v>Vote Description</v>
      </c>
      <c r="B2" s="436" t="str">
        <f>head27</f>
        <v>Ref</v>
      </c>
      <c r="C2" s="142" t="str">
        <f>Head1</f>
        <v>2019/20</v>
      </c>
      <c r="D2" s="1038" t="str">
        <f>Head2</f>
        <v>Budget Year 2020/21</v>
      </c>
      <c r="E2" s="1039"/>
      <c r="F2" s="1039"/>
      <c r="G2" s="1039"/>
      <c r="H2" s="1039"/>
      <c r="I2" s="1039"/>
      <c r="J2" s="1039"/>
      <c r="K2" s="1040"/>
      <c r="L2" s="1049" t="e">
        <f>Head4</f>
        <v>#REF!</v>
      </c>
      <c r="M2" s="1050"/>
      <c r="N2" s="1050"/>
      <c r="O2" s="1050"/>
      <c r="P2" s="1050"/>
      <c r="Q2" s="1050"/>
      <c r="R2" s="1050"/>
      <c r="S2" s="1050"/>
      <c r="T2" s="1050"/>
      <c r="U2" s="1050"/>
      <c r="V2" s="1050"/>
      <c r="W2" s="1051"/>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3800000</v>
      </c>
      <c r="F7" s="443">
        <f t="shared" si="0"/>
        <v>0</v>
      </c>
      <c r="G7" s="441">
        <f t="shared" si="0"/>
        <v>7094.85</v>
      </c>
      <c r="H7" s="443">
        <f t="shared" si="0"/>
        <v>1583333.3333333335</v>
      </c>
      <c r="I7" s="50">
        <f t="shared" ref="I7:I43" si="1">G7-H7</f>
        <v>-1576238.4833333334</v>
      </c>
      <c r="J7" s="146">
        <f t="shared" ref="J7:J43" si="2">IF(I7=0,"",I7/H7)</f>
        <v>-0.9955190421052631</v>
      </c>
      <c r="K7" s="442">
        <f>SUM(K8:K11)</f>
        <v>3800000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3800000</v>
      </c>
      <c r="F9" s="742"/>
      <c r="G9" s="741">
        <v>7094.85</v>
      </c>
      <c r="H9" s="742">
        <f>E9/12*5</f>
        <v>1583333.3333333335</v>
      </c>
      <c r="I9" s="44">
        <f t="shared" si="1"/>
        <v>-1576238.4833333334</v>
      </c>
      <c r="J9" s="330">
        <f t="shared" si="2"/>
        <v>-0.9955190421052631</v>
      </c>
      <c r="K9" s="743">
        <f>E9</f>
        <v>3800000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3">SUM(C13:C17)</f>
        <v>0</v>
      </c>
      <c r="D12" s="444">
        <f t="shared" si="3"/>
        <v>12500000</v>
      </c>
      <c r="E12" s="441">
        <f t="shared" si="3"/>
        <v>12500000</v>
      </c>
      <c r="F12" s="443">
        <f t="shared" si="3"/>
        <v>0</v>
      </c>
      <c r="G12" s="441">
        <f t="shared" si="3"/>
        <v>205438.76</v>
      </c>
      <c r="H12" s="443">
        <f t="shared" si="3"/>
        <v>5208333.333333333</v>
      </c>
      <c r="I12" s="44">
        <f t="shared" si="1"/>
        <v>-5002894.5733333332</v>
      </c>
      <c r="J12" s="330">
        <f t="shared" si="2"/>
        <v>-0.96055575808000004</v>
      </c>
      <c r="K12" s="442">
        <f>SUM(K13:K17)</f>
        <v>12500000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12500000</v>
      </c>
      <c r="F14" s="742"/>
      <c r="G14" s="741">
        <v>205438.76</v>
      </c>
      <c r="H14" s="742">
        <f>E14/12*5</f>
        <v>5208333.333333333</v>
      </c>
      <c r="I14" s="44">
        <f t="shared" si="1"/>
        <v>-5002894.5733333332</v>
      </c>
      <c r="J14" s="330">
        <f t="shared" si="2"/>
        <v>-0.96055575808000004</v>
      </c>
      <c r="K14" s="743">
        <f>E14</f>
        <v>12500000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6" ht="11.25" customHeight="1" x14ac:dyDescent="0.25">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6" ht="11.25" customHeight="1" x14ac:dyDescent="0.25">
      <c r="A18" s="466" t="str">
        <f>'Org structure'!A4</f>
        <v>Vote 3 - Community Services and Social Equity</v>
      </c>
      <c r="B18" s="440"/>
      <c r="C18" s="503">
        <f t="shared" ref="C18:H18" si="4">SUM(C19:C22)</f>
        <v>0</v>
      </c>
      <c r="D18" s="444">
        <f t="shared" si="4"/>
        <v>23812425</v>
      </c>
      <c r="E18" s="441">
        <f t="shared" si="4"/>
        <v>23812425</v>
      </c>
      <c r="F18" s="443">
        <f t="shared" si="4"/>
        <v>228362.88</v>
      </c>
      <c r="G18" s="441">
        <f t="shared" si="4"/>
        <v>2524105.0299999998</v>
      </c>
      <c r="H18" s="443">
        <f t="shared" si="4"/>
        <v>9921843.75</v>
      </c>
      <c r="I18" s="44">
        <f t="shared" si="1"/>
        <v>-7397738.7200000007</v>
      </c>
      <c r="J18" s="330">
        <f t="shared" si="2"/>
        <v>-0.74560121146838265</v>
      </c>
      <c r="K18" s="442">
        <f>SUM(K19:K22)</f>
        <v>23812425</v>
      </c>
      <c r="L18" s="424"/>
      <c r="M18" s="38"/>
      <c r="N18" s="38"/>
      <c r="O18" s="38"/>
      <c r="P18" s="38"/>
      <c r="Q18" s="38"/>
      <c r="R18" s="38"/>
      <c r="S18" s="38"/>
      <c r="T18" s="38"/>
      <c r="U18" s="38"/>
      <c r="V18" s="38"/>
      <c r="W18" s="38"/>
    </row>
    <row r="19" spans="1:26"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6" ht="11.25" customHeight="1" x14ac:dyDescent="0.25">
      <c r="A20" s="407" t="str">
        <f>'Org structure'!E26</f>
        <v>3.2 - Public Safety, Emergency Services and Enforcement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c r="Y20" s="630"/>
    </row>
    <row r="21" spans="1:26" ht="11.25" customHeight="1" x14ac:dyDescent="0.25">
      <c r="A21" s="407" t="str">
        <f>'Org structure'!E27</f>
        <v>3.3 - Recreation and Facilities</v>
      </c>
      <c r="B21" s="445"/>
      <c r="C21" s="739"/>
      <c r="D21" s="740">
        <v>7000000</v>
      </c>
      <c r="E21" s="741">
        <v>7000000</v>
      </c>
      <c r="F21" s="742">
        <v>228362.88</v>
      </c>
      <c r="G21" s="741">
        <v>2524105.0299999998</v>
      </c>
      <c r="H21" s="742">
        <f>E21/12*5</f>
        <v>2916666.666666667</v>
      </c>
      <c r="I21" s="44">
        <f t="shared" si="1"/>
        <v>-392561.63666666718</v>
      </c>
      <c r="J21" s="330">
        <f t="shared" si="2"/>
        <v>-0.13459256114285731</v>
      </c>
      <c r="K21" s="743">
        <f>E21</f>
        <v>7000000</v>
      </c>
      <c r="L21" s="424"/>
      <c r="M21" s="38"/>
      <c r="N21" s="38"/>
      <c r="O21" s="38"/>
      <c r="P21" s="38"/>
      <c r="Q21" s="38"/>
      <c r="R21" s="38"/>
      <c r="S21" s="38"/>
      <c r="T21" s="38"/>
      <c r="U21" s="38"/>
      <c r="V21" s="38"/>
      <c r="W21" s="38"/>
    </row>
    <row r="22" spans="1:26" ht="11.25" customHeight="1" x14ac:dyDescent="0.25">
      <c r="A22" s="407" t="str">
        <f>'Org structure'!E28</f>
        <v>3.4 - Waste Management</v>
      </c>
      <c r="B22" s="445"/>
      <c r="C22" s="739"/>
      <c r="D22" s="740">
        <v>16812425</v>
      </c>
      <c r="E22" s="741">
        <v>16812425</v>
      </c>
      <c r="F22" s="742"/>
      <c r="G22" s="741"/>
      <c r="H22" s="742">
        <f>E22/12*5</f>
        <v>7005177.083333334</v>
      </c>
      <c r="I22" s="44">
        <f t="shared" si="1"/>
        <v>-7005177.083333334</v>
      </c>
      <c r="J22" s="330">
        <f t="shared" si="2"/>
        <v>-1</v>
      </c>
      <c r="K22" s="743">
        <f>E22</f>
        <v>16812425</v>
      </c>
      <c r="L22" s="424"/>
      <c r="M22" s="38"/>
      <c r="N22" s="38"/>
      <c r="O22" s="38"/>
      <c r="P22" s="38"/>
      <c r="Q22" s="38"/>
      <c r="R22" s="38"/>
      <c r="S22" s="38"/>
      <c r="T22" s="38"/>
      <c r="U22" s="38"/>
      <c r="V22" s="38"/>
      <c r="W22" s="38"/>
    </row>
    <row r="23" spans="1:26" ht="11.25" customHeight="1" x14ac:dyDescent="0.25">
      <c r="A23" s="466" t="str">
        <f>'Org structure'!A5</f>
        <v>Vote 4 - Corporate Services</v>
      </c>
      <c r="B23" s="440"/>
      <c r="C23" s="503">
        <f t="shared" ref="C23:H23" si="5">SUM(C24:C28)</f>
        <v>0</v>
      </c>
      <c r="D23" s="444">
        <f t="shared" si="5"/>
        <v>0</v>
      </c>
      <c r="E23" s="441">
        <f t="shared" si="5"/>
        <v>0</v>
      </c>
      <c r="F23" s="443">
        <f t="shared" si="5"/>
        <v>0</v>
      </c>
      <c r="G23" s="441">
        <f t="shared" si="5"/>
        <v>0</v>
      </c>
      <c r="H23" s="443">
        <f t="shared" si="5"/>
        <v>0</v>
      </c>
      <c r="I23" s="44">
        <f t="shared" si="1"/>
        <v>0</v>
      </c>
      <c r="J23" s="330" t="str">
        <f t="shared" si="2"/>
        <v/>
      </c>
      <c r="K23" s="442">
        <f>SUM(K24:K28)</f>
        <v>0</v>
      </c>
      <c r="L23" s="424"/>
      <c r="M23" s="38"/>
      <c r="N23" s="38"/>
      <c r="O23" s="38"/>
      <c r="P23" s="38"/>
      <c r="Q23" s="38"/>
      <c r="R23" s="38"/>
      <c r="S23" s="38"/>
      <c r="T23" s="38"/>
      <c r="U23" s="38"/>
      <c r="V23" s="38"/>
      <c r="W23" s="38"/>
    </row>
    <row r="24" spans="1:26" ht="11.25" customHeight="1" x14ac:dyDescent="0.25">
      <c r="A24" s="407" t="str">
        <f>'Org structure'!E36</f>
        <v>4.1 - Human Resources Management</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6" ht="11.25" customHeight="1" x14ac:dyDescent="0.25">
      <c r="A25" s="407" t="str">
        <f>'Org structure'!E37</f>
        <v>4.2 - Information Technology</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6"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6" ht="11.25" customHeight="1" x14ac:dyDescent="0.25">
      <c r="A27" s="407" t="str">
        <f>'Org structure'!E39</f>
        <v>4.4 - Secretariat and Auxiliary Services</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6"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6" ht="11.25" customHeight="1" x14ac:dyDescent="0.25">
      <c r="A29" s="466" t="str">
        <f>'Org structure'!A6</f>
        <v>Vote 5 - Infrastructure Services</v>
      </c>
      <c r="B29" s="440"/>
      <c r="C29" s="503">
        <f t="shared" ref="C29:H29" si="6">SUM(C30:C34)</f>
        <v>0</v>
      </c>
      <c r="D29" s="444">
        <f t="shared" si="6"/>
        <v>168455000</v>
      </c>
      <c r="E29" s="441">
        <f t="shared" si="6"/>
        <v>168455000</v>
      </c>
      <c r="F29" s="443">
        <f t="shared" si="6"/>
        <v>35419773.359999999</v>
      </c>
      <c r="G29" s="441">
        <f t="shared" si="6"/>
        <v>75805286.390000001</v>
      </c>
      <c r="H29" s="443">
        <f t="shared" si="6"/>
        <v>70189583.333333343</v>
      </c>
      <c r="I29" s="44">
        <f t="shared" si="1"/>
        <v>5615703.0566666573</v>
      </c>
      <c r="J29" s="330">
        <f t="shared" si="2"/>
        <v>8.0007642017155767E-2</v>
      </c>
      <c r="K29" s="442">
        <f>SUM(K30:K34)</f>
        <v>168455000</v>
      </c>
      <c r="L29" s="424"/>
      <c r="M29" s="38"/>
      <c r="N29" s="38"/>
      <c r="O29" s="38"/>
      <c r="P29" s="38"/>
      <c r="Q29" s="38"/>
      <c r="R29" s="38"/>
      <c r="S29" s="38"/>
      <c r="T29" s="38"/>
      <c r="U29" s="38"/>
      <c r="V29" s="38"/>
      <c r="W29" s="38"/>
    </row>
    <row r="30" spans="1:26" ht="11.25" customHeight="1" x14ac:dyDescent="0.25">
      <c r="A30" s="407" t="str">
        <f>'Org structure'!E47</f>
        <v>5.1 - Electricity</v>
      </c>
      <c r="B30" s="445"/>
      <c r="C30" s="739"/>
      <c r="D30" s="740"/>
      <c r="E30" s="741"/>
      <c r="F30" s="742"/>
      <c r="G30" s="741"/>
      <c r="H30" s="742"/>
      <c r="I30" s="44">
        <f t="shared" si="1"/>
        <v>0</v>
      </c>
      <c r="J30" s="330" t="str">
        <f t="shared" si="2"/>
        <v/>
      </c>
      <c r="K30" s="743"/>
      <c r="L30" s="424"/>
      <c r="M30" s="38"/>
      <c r="N30" s="38"/>
      <c r="O30" s="38"/>
      <c r="P30" s="38"/>
      <c r="Q30" s="38"/>
      <c r="R30" s="38"/>
      <c r="S30" s="38"/>
      <c r="T30" s="38"/>
      <c r="U30" s="38"/>
      <c r="V30" s="38"/>
      <c r="W30" s="38"/>
      <c r="Z30" s="630"/>
    </row>
    <row r="31" spans="1:26"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c r="Y31" s="630"/>
    </row>
    <row r="32" spans="1:26" ht="11.25" customHeight="1" x14ac:dyDescent="0.25">
      <c r="A32" s="407" t="str">
        <f>'Org structure'!E49</f>
        <v>5.3 - Roads and Transportation</v>
      </c>
      <c r="B32" s="445"/>
      <c r="C32" s="739"/>
      <c r="D32" s="740">
        <v>55700000</v>
      </c>
      <c r="E32" s="741">
        <v>55700000</v>
      </c>
      <c r="F32" s="742">
        <v>21565834.68</v>
      </c>
      <c r="G32" s="741">
        <v>53189164.93</v>
      </c>
      <c r="H32" s="742">
        <f>E32/12*5</f>
        <v>23208333.333333336</v>
      </c>
      <c r="I32" s="44">
        <f t="shared" si="1"/>
        <v>29980831.596666664</v>
      </c>
      <c r="J32" s="330">
        <f t="shared" si="2"/>
        <v>1.291813210628366</v>
      </c>
      <c r="K32" s="743">
        <f>E32</f>
        <v>55700000</v>
      </c>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v>112755000</v>
      </c>
      <c r="F33" s="742">
        <v>13853938.68</v>
      </c>
      <c r="G33" s="741">
        <v>22616121.460000001</v>
      </c>
      <c r="H33" s="742">
        <f>E33/12*5</f>
        <v>46981250</v>
      </c>
      <c r="I33" s="44">
        <f t="shared" si="1"/>
        <v>-24365128.539999999</v>
      </c>
      <c r="J33" s="330">
        <f t="shared" si="2"/>
        <v>-0.51861388404948783</v>
      </c>
      <c r="K33" s="743">
        <f>E33</f>
        <v>112755000</v>
      </c>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7">SUM(C36:C45)</f>
        <v>0</v>
      </c>
      <c r="D35" s="444">
        <f t="shared" si="7"/>
        <v>300600156</v>
      </c>
      <c r="E35" s="441">
        <f t="shared" si="7"/>
        <v>300600156</v>
      </c>
      <c r="F35" s="443">
        <f t="shared" si="7"/>
        <v>11872686.689999999</v>
      </c>
      <c r="G35" s="441">
        <f t="shared" si="7"/>
        <v>29331639.269999996</v>
      </c>
      <c r="H35" s="443">
        <f t="shared" si="7"/>
        <v>125250064.99999999</v>
      </c>
      <c r="I35" s="44">
        <f t="shared" si="1"/>
        <v>-95918425.729999989</v>
      </c>
      <c r="J35" s="330">
        <f t="shared" si="2"/>
        <v>-0.76581537686227952</v>
      </c>
      <c r="K35" s="442">
        <f>SUM(K36:K45)</f>
        <v>300600156</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10212000</v>
      </c>
      <c r="F36" s="742"/>
      <c r="G36" s="741"/>
      <c r="H36" s="742">
        <f>E36/12*5</f>
        <v>4255000</v>
      </c>
      <c r="I36" s="44">
        <f t="shared" si="1"/>
        <v>-4255000</v>
      </c>
      <c r="J36" s="330">
        <f t="shared" si="2"/>
        <v>-1</v>
      </c>
      <c r="K36" s="743">
        <f>E36</f>
        <v>10212000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35000000</v>
      </c>
      <c r="F37" s="742"/>
      <c r="G37" s="741"/>
      <c r="H37" s="742">
        <f>E37/12*5</f>
        <v>14583333.333333332</v>
      </c>
      <c r="I37" s="44">
        <f t="shared" si="1"/>
        <v>-14583333.333333332</v>
      </c>
      <c r="J37" s="330">
        <f t="shared" si="2"/>
        <v>-1</v>
      </c>
      <c r="K37" s="743">
        <f>E37</f>
        <v>35000000</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255388156</v>
      </c>
      <c r="F38" s="742">
        <v>11872686.689999999</v>
      </c>
      <c r="G38" s="741">
        <v>23913510.919999998</v>
      </c>
      <c r="H38" s="742">
        <f>E38/12*5</f>
        <v>106411731.66666666</v>
      </c>
      <c r="I38" s="44">
        <f t="shared" si="1"/>
        <v>-82498220.746666655</v>
      </c>
      <c r="J38" s="330">
        <f t="shared" si="2"/>
        <v>-0.77527373584231518</v>
      </c>
      <c r="K38" s="743">
        <f>E38</f>
        <v>255388156</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c r="F39" s="742"/>
      <c r="G39" s="741">
        <v>5418128.3499999996</v>
      </c>
      <c r="H39" s="742"/>
      <c r="I39" s="44">
        <f t="shared" si="1"/>
        <v>5418128.3499999996</v>
      </c>
      <c r="J39" s="330" t="e">
        <f t="shared" si="2"/>
        <v>#DIV/0!</v>
      </c>
      <c r="K39" s="743"/>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8">G44-H44</f>
        <v>0</v>
      </c>
      <c r="J44" s="330" t="str">
        <f t="shared" ref="J44:J107" si="9">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8"/>
        <v>0</v>
      </c>
      <c r="J45" s="330" t="str">
        <f t="shared" si="9"/>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0">SUM(C47:C56)</f>
        <v>0</v>
      </c>
      <c r="D46" s="444">
        <f t="shared" si="10"/>
        <v>0</v>
      </c>
      <c r="E46" s="441">
        <f t="shared" si="10"/>
        <v>0</v>
      </c>
      <c r="F46" s="443">
        <f t="shared" si="10"/>
        <v>0</v>
      </c>
      <c r="G46" s="441">
        <f t="shared" si="10"/>
        <v>0</v>
      </c>
      <c r="H46" s="443">
        <f t="shared" si="10"/>
        <v>0</v>
      </c>
      <c r="I46" s="44">
        <f t="shared" si="8"/>
        <v>0</v>
      </c>
      <c r="J46" s="330" t="str">
        <f t="shared" si="9"/>
        <v/>
      </c>
      <c r="K46" s="442">
        <f t="shared" si="10"/>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8"/>
        <v>0</v>
      </c>
      <c r="J47" s="330" t="str">
        <f t="shared" si="9"/>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8"/>
        <v>0</v>
      </c>
      <c r="J48" s="330" t="str">
        <f t="shared" si="9"/>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8"/>
        <v>0</v>
      </c>
      <c r="J49" s="330" t="str">
        <f t="shared" si="9"/>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8"/>
        <v>0</v>
      </c>
      <c r="J50" s="330" t="str">
        <f t="shared" si="9"/>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8"/>
        <v>0</v>
      </c>
      <c r="J51" s="330" t="str">
        <f t="shared" si="9"/>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8"/>
        <v>0</v>
      </c>
      <c r="J52" s="330" t="str">
        <f t="shared" si="9"/>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8"/>
        <v>0</v>
      </c>
      <c r="J53" s="330" t="str">
        <f t="shared" si="9"/>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8"/>
        <v>0</v>
      </c>
      <c r="J54" s="330" t="str">
        <f t="shared" si="9"/>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8"/>
        <v>0</v>
      </c>
      <c r="J55" s="330" t="str">
        <f t="shared" si="9"/>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8"/>
        <v>0</v>
      </c>
      <c r="J56" s="330" t="str">
        <f t="shared" si="9"/>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1">SUM(D58:D67)</f>
        <v>0</v>
      </c>
      <c r="E57" s="441">
        <f t="shared" si="11"/>
        <v>0</v>
      </c>
      <c r="F57" s="443">
        <f t="shared" si="11"/>
        <v>0</v>
      </c>
      <c r="G57" s="441">
        <f t="shared" si="11"/>
        <v>0</v>
      </c>
      <c r="H57" s="443">
        <f t="shared" si="11"/>
        <v>0</v>
      </c>
      <c r="I57" s="44">
        <f t="shared" si="8"/>
        <v>0</v>
      </c>
      <c r="J57" s="330" t="str">
        <f t="shared" si="9"/>
        <v/>
      </c>
      <c r="K57" s="442">
        <f t="shared" si="11"/>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8"/>
        <v>0</v>
      </c>
      <c r="J58" s="330" t="str">
        <f t="shared" si="9"/>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8"/>
        <v>0</v>
      </c>
      <c r="J59" s="330" t="str">
        <f t="shared" si="9"/>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8"/>
        <v>0</v>
      </c>
      <c r="J60" s="330" t="str">
        <f t="shared" si="9"/>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8"/>
        <v>0</v>
      </c>
      <c r="J61" s="330" t="str">
        <f t="shared" si="9"/>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8"/>
        <v>0</v>
      </c>
      <c r="J62" s="330" t="str">
        <f t="shared" si="9"/>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8"/>
        <v>0</v>
      </c>
      <c r="J63" s="330" t="str">
        <f t="shared" si="9"/>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8"/>
        <v>0</v>
      </c>
      <c r="J64" s="330" t="str">
        <f t="shared" si="9"/>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8"/>
        <v>0</v>
      </c>
      <c r="J65" s="330" t="str">
        <f t="shared" si="9"/>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8"/>
        <v>0</v>
      </c>
      <c r="J66" s="330" t="str">
        <f t="shared" si="9"/>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8"/>
        <v>0</v>
      </c>
      <c r="J67" s="330" t="str">
        <f t="shared" si="9"/>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12">SUM(D69:D78)</f>
        <v>0</v>
      </c>
      <c r="E68" s="441">
        <f t="shared" si="12"/>
        <v>0</v>
      </c>
      <c r="F68" s="443">
        <f t="shared" si="12"/>
        <v>0</v>
      </c>
      <c r="G68" s="441">
        <f t="shared" si="12"/>
        <v>0</v>
      </c>
      <c r="H68" s="443">
        <f t="shared" si="12"/>
        <v>0</v>
      </c>
      <c r="I68" s="44">
        <f t="shared" si="8"/>
        <v>0</v>
      </c>
      <c r="J68" s="330" t="str">
        <f t="shared" si="9"/>
        <v/>
      </c>
      <c r="K68" s="442">
        <f t="shared" si="12"/>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8"/>
        <v>0</v>
      </c>
      <c r="J69" s="330" t="str">
        <f t="shared" si="9"/>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8"/>
        <v>0</v>
      </c>
      <c r="J70" s="330" t="str">
        <f t="shared" si="9"/>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8"/>
        <v>0</v>
      </c>
      <c r="J71" s="330" t="str">
        <f t="shared" si="9"/>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8"/>
        <v>0</v>
      </c>
      <c r="J72" s="330" t="str">
        <f t="shared" si="9"/>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8"/>
        <v>0</v>
      </c>
      <c r="J73" s="330" t="str">
        <f t="shared" si="9"/>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8"/>
        <v>0</v>
      </c>
      <c r="J74" s="330" t="str">
        <f t="shared" si="9"/>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8"/>
        <v>0</v>
      </c>
      <c r="J75" s="330" t="str">
        <f t="shared" si="9"/>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8"/>
        <v>0</v>
      </c>
      <c r="J76" s="330" t="str">
        <f t="shared" si="9"/>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8"/>
        <v>0</v>
      </c>
      <c r="J77" s="330" t="str">
        <f t="shared" si="9"/>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8"/>
        <v>0</v>
      </c>
      <c r="J78" s="330" t="str">
        <f t="shared" si="9"/>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13">SUM(D80:D89)</f>
        <v>0</v>
      </c>
      <c r="E79" s="441">
        <f t="shared" si="13"/>
        <v>0</v>
      </c>
      <c r="F79" s="443">
        <f t="shared" si="13"/>
        <v>0</v>
      </c>
      <c r="G79" s="441">
        <f t="shared" si="13"/>
        <v>0</v>
      </c>
      <c r="H79" s="443">
        <f t="shared" si="13"/>
        <v>0</v>
      </c>
      <c r="I79" s="44">
        <f t="shared" si="8"/>
        <v>0</v>
      </c>
      <c r="J79" s="330" t="str">
        <f t="shared" si="9"/>
        <v/>
      </c>
      <c r="K79" s="442">
        <f t="shared" si="13"/>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8"/>
        <v>0</v>
      </c>
      <c r="J80" s="330" t="str">
        <f t="shared" si="9"/>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8"/>
        <v>0</v>
      </c>
      <c r="J81" s="330" t="str">
        <f t="shared" si="9"/>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8"/>
        <v>0</v>
      </c>
      <c r="J82" s="330" t="str">
        <f t="shared" si="9"/>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8"/>
        <v>0</v>
      </c>
      <c r="J83" s="330" t="str">
        <f t="shared" si="9"/>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8"/>
        <v>0</v>
      </c>
      <c r="J84" s="330" t="str">
        <f t="shared" si="9"/>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8"/>
        <v>0</v>
      </c>
      <c r="J85" s="330" t="str">
        <f t="shared" si="9"/>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8"/>
        <v>0</v>
      </c>
      <c r="J86" s="330" t="str">
        <f t="shared" si="9"/>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8"/>
        <v>0</v>
      </c>
      <c r="J87" s="330" t="str">
        <f t="shared" si="9"/>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8"/>
        <v>0</v>
      </c>
      <c r="J88" s="330" t="str">
        <f t="shared" si="9"/>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8"/>
        <v>0</v>
      </c>
      <c r="J89" s="330" t="str">
        <f t="shared" si="9"/>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14">SUM(D91:D100)</f>
        <v>0</v>
      </c>
      <c r="E90" s="441">
        <f t="shared" si="14"/>
        <v>0</v>
      </c>
      <c r="F90" s="443">
        <f t="shared" si="14"/>
        <v>0</v>
      </c>
      <c r="G90" s="441">
        <f t="shared" si="14"/>
        <v>0</v>
      </c>
      <c r="H90" s="443">
        <f t="shared" si="14"/>
        <v>0</v>
      </c>
      <c r="I90" s="44">
        <f t="shared" si="8"/>
        <v>0</v>
      </c>
      <c r="J90" s="330" t="str">
        <f t="shared" si="9"/>
        <v/>
      </c>
      <c r="K90" s="442">
        <f t="shared" si="14"/>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8"/>
        <v>0</v>
      </c>
      <c r="J91" s="330" t="str">
        <f t="shared" si="9"/>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8"/>
        <v>0</v>
      </c>
      <c r="J92" s="330" t="str">
        <f t="shared" si="9"/>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8"/>
        <v>0</v>
      </c>
      <c r="J93" s="330" t="str">
        <f t="shared" si="9"/>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8"/>
        <v>0</v>
      </c>
      <c r="J94" s="330" t="str">
        <f t="shared" si="9"/>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8"/>
        <v>0</v>
      </c>
      <c r="J95" s="330" t="str">
        <f t="shared" si="9"/>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8"/>
        <v>0</v>
      </c>
      <c r="J96" s="330" t="str">
        <f t="shared" si="9"/>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8"/>
        <v>0</v>
      </c>
      <c r="J97" s="330" t="str">
        <f t="shared" si="9"/>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8"/>
        <v>0</v>
      </c>
      <c r="J98" s="330" t="str">
        <f t="shared" si="9"/>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8"/>
        <v>0</v>
      </c>
      <c r="J99" s="330" t="str">
        <f t="shared" si="9"/>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8"/>
        <v>0</v>
      </c>
      <c r="J100" s="330" t="str">
        <f t="shared" si="9"/>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15">SUM(D102:D111)</f>
        <v>0</v>
      </c>
      <c r="E101" s="441">
        <f t="shared" si="15"/>
        <v>0</v>
      </c>
      <c r="F101" s="443">
        <f t="shared" si="15"/>
        <v>0</v>
      </c>
      <c r="G101" s="441">
        <f t="shared" si="15"/>
        <v>0</v>
      </c>
      <c r="H101" s="443">
        <f t="shared" si="15"/>
        <v>0</v>
      </c>
      <c r="I101" s="44">
        <f t="shared" si="8"/>
        <v>0</v>
      </c>
      <c r="J101" s="330" t="str">
        <f t="shared" si="9"/>
        <v/>
      </c>
      <c r="K101" s="442">
        <f t="shared" si="15"/>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8"/>
        <v>0</v>
      </c>
      <c r="J102" s="330" t="str">
        <f t="shared" si="9"/>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8"/>
        <v>0</v>
      </c>
      <c r="J103" s="330" t="str">
        <f t="shared" si="9"/>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8"/>
        <v>0</v>
      </c>
      <c r="J104" s="330" t="str">
        <f t="shared" si="9"/>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8"/>
        <v>0</v>
      </c>
      <c r="J105" s="330" t="str">
        <f t="shared" si="9"/>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8"/>
        <v>0</v>
      </c>
      <c r="J106" s="330" t="str">
        <f t="shared" si="9"/>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8"/>
        <v>0</v>
      </c>
      <c r="J107" s="330" t="str">
        <f t="shared" si="9"/>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16">G108-H108</f>
        <v>0</v>
      </c>
      <c r="J108" s="330" t="str">
        <f t="shared" ref="J108:J172" si="17">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16"/>
        <v>0</v>
      </c>
      <c r="J109" s="330" t="str">
        <f t="shared" si="17"/>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16"/>
        <v>0</v>
      </c>
      <c r="J110" s="330" t="str">
        <f t="shared" si="17"/>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16"/>
        <v>0</v>
      </c>
      <c r="J111" s="330" t="str">
        <f t="shared" si="17"/>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18">SUM(D113:D122)</f>
        <v>0</v>
      </c>
      <c r="E112" s="441">
        <f t="shared" si="18"/>
        <v>0</v>
      </c>
      <c r="F112" s="443">
        <f t="shared" si="18"/>
        <v>0</v>
      </c>
      <c r="G112" s="441">
        <f t="shared" si="18"/>
        <v>0</v>
      </c>
      <c r="H112" s="443">
        <f t="shared" si="18"/>
        <v>0</v>
      </c>
      <c r="I112" s="44">
        <f t="shared" si="16"/>
        <v>0</v>
      </c>
      <c r="J112" s="330" t="str">
        <f t="shared" si="17"/>
        <v/>
      </c>
      <c r="K112" s="442">
        <f t="shared" si="18"/>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16"/>
        <v>0</v>
      </c>
      <c r="J113" s="330" t="str">
        <f t="shared" si="17"/>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16"/>
        <v>0</v>
      </c>
      <c r="J114" s="330" t="str">
        <f t="shared" si="17"/>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16"/>
        <v>0</v>
      </c>
      <c r="J115" s="330" t="str">
        <f t="shared" si="17"/>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16"/>
        <v>0</v>
      </c>
      <c r="J116" s="330" t="str">
        <f t="shared" si="17"/>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16"/>
        <v>0</v>
      </c>
      <c r="J117" s="330" t="str">
        <f t="shared" si="17"/>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16"/>
        <v>0</v>
      </c>
      <c r="J118" s="330" t="str">
        <f t="shared" si="17"/>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16"/>
        <v>0</v>
      </c>
      <c r="J119" s="330" t="str">
        <f t="shared" si="17"/>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16"/>
        <v>0</v>
      </c>
      <c r="J120" s="330" t="str">
        <f t="shared" si="17"/>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16"/>
        <v>0</v>
      </c>
      <c r="J121" s="330" t="str">
        <f t="shared" si="17"/>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16"/>
        <v>0</v>
      </c>
      <c r="J122" s="330" t="str">
        <f t="shared" si="17"/>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19">SUM(D124:D133)</f>
        <v>0</v>
      </c>
      <c r="E123" s="441">
        <f t="shared" si="19"/>
        <v>0</v>
      </c>
      <c r="F123" s="443">
        <f t="shared" si="19"/>
        <v>0</v>
      </c>
      <c r="G123" s="441">
        <f t="shared" si="19"/>
        <v>0</v>
      </c>
      <c r="H123" s="443">
        <f t="shared" si="19"/>
        <v>0</v>
      </c>
      <c r="I123" s="44">
        <f t="shared" si="16"/>
        <v>0</v>
      </c>
      <c r="J123" s="330" t="str">
        <f t="shared" si="17"/>
        <v/>
      </c>
      <c r="K123" s="442">
        <f t="shared" si="19"/>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16"/>
        <v>0</v>
      </c>
      <c r="J124" s="330" t="str">
        <f t="shared" si="17"/>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16"/>
        <v>0</v>
      </c>
      <c r="J125" s="330" t="str">
        <f t="shared" si="17"/>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16"/>
        <v>0</v>
      </c>
      <c r="J126" s="330" t="str">
        <f t="shared" si="17"/>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16"/>
        <v>0</v>
      </c>
      <c r="J127" s="330" t="str">
        <f t="shared" si="17"/>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16"/>
        <v>0</v>
      </c>
      <c r="J128" s="330" t="str">
        <f t="shared" si="17"/>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16"/>
        <v>0</v>
      </c>
      <c r="J129" s="330" t="str">
        <f t="shared" si="17"/>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16"/>
        <v>0</v>
      </c>
      <c r="J130" s="330" t="str">
        <f t="shared" si="17"/>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16"/>
        <v>0</v>
      </c>
      <c r="J131" s="330" t="str">
        <f t="shared" si="17"/>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16"/>
        <v>0</v>
      </c>
      <c r="J132" s="330" t="str">
        <f t="shared" si="17"/>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16"/>
        <v>0</v>
      </c>
      <c r="J133" s="330" t="str">
        <f t="shared" si="17"/>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0">SUM(D135:D144)</f>
        <v>0</v>
      </c>
      <c r="E134" s="441">
        <f t="shared" si="20"/>
        <v>0</v>
      </c>
      <c r="F134" s="443">
        <f t="shared" si="20"/>
        <v>0</v>
      </c>
      <c r="G134" s="441">
        <f t="shared" si="20"/>
        <v>0</v>
      </c>
      <c r="H134" s="443">
        <f t="shared" si="20"/>
        <v>0</v>
      </c>
      <c r="I134" s="44">
        <f t="shared" si="16"/>
        <v>0</v>
      </c>
      <c r="J134" s="330" t="str">
        <f t="shared" si="17"/>
        <v/>
      </c>
      <c r="K134" s="442">
        <f t="shared" si="20"/>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16"/>
        <v>0</v>
      </c>
      <c r="J135" s="330" t="str">
        <f t="shared" si="17"/>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16"/>
        <v>0</v>
      </c>
      <c r="J136" s="330" t="str">
        <f t="shared" si="17"/>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16"/>
        <v>0</v>
      </c>
      <c r="J137" s="330" t="str">
        <f t="shared" si="17"/>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16"/>
        <v>0</v>
      </c>
      <c r="J138" s="330" t="str">
        <f t="shared" si="17"/>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16"/>
        <v>0</v>
      </c>
      <c r="J139" s="330" t="str">
        <f t="shared" si="17"/>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16"/>
        <v>0</v>
      </c>
      <c r="J140" s="330" t="str">
        <f t="shared" si="17"/>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16"/>
        <v>0</v>
      </c>
      <c r="J141" s="330" t="str">
        <f t="shared" si="17"/>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16"/>
        <v>0</v>
      </c>
      <c r="J142" s="330" t="str">
        <f t="shared" si="17"/>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16"/>
        <v>0</v>
      </c>
      <c r="J143" s="330" t="str">
        <f t="shared" si="17"/>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16"/>
        <v>0</v>
      </c>
      <c r="J144" s="330" t="str">
        <f t="shared" si="17"/>
        <v/>
      </c>
      <c r="K144" s="743"/>
      <c r="L144" s="452">
        <f t="shared" ref="L144:W144" si="21">SUM(L52:L55)</f>
        <v>0</v>
      </c>
      <c r="M144" s="453">
        <f t="shared" si="21"/>
        <v>0</v>
      </c>
      <c r="N144" s="453">
        <f t="shared" si="21"/>
        <v>0</v>
      </c>
      <c r="O144" s="453">
        <f t="shared" si="21"/>
        <v>0</v>
      </c>
      <c r="P144" s="453">
        <f t="shared" si="21"/>
        <v>0</v>
      </c>
      <c r="Q144" s="453">
        <f t="shared" si="21"/>
        <v>0</v>
      </c>
      <c r="R144" s="453">
        <f t="shared" si="21"/>
        <v>0</v>
      </c>
      <c r="S144" s="453">
        <f t="shared" si="21"/>
        <v>0</v>
      </c>
      <c r="T144" s="453">
        <f t="shared" si="21"/>
        <v>0</v>
      </c>
      <c r="U144" s="453">
        <f t="shared" si="21"/>
        <v>0</v>
      </c>
      <c r="V144" s="453">
        <f t="shared" si="21"/>
        <v>0</v>
      </c>
      <c r="W144" s="453">
        <f t="shared" si="21"/>
        <v>0</v>
      </c>
    </row>
    <row r="145" spans="1:25" ht="12.75" customHeight="1" x14ac:dyDescent="0.25">
      <c r="A145" s="447" t="s">
        <v>798</v>
      </c>
      <c r="B145" s="415"/>
      <c r="C145" s="504">
        <f>C7+C12+C18+C23+C29+C35+C46+C57+C68+C79+C90+C101+C112+C123+C134</f>
        <v>0</v>
      </c>
      <c r="D145" s="451">
        <f>D7+D12+D18+D23+D29+D35</f>
        <v>509167581</v>
      </c>
      <c r="E145" s="448">
        <f>E7+E12+E18+E23+E29+E35+E46+E57+E68+E79+E90+E101+E112+E123+E134</f>
        <v>509167581</v>
      </c>
      <c r="F145" s="450">
        <f>F7+F12+F18+F23+F29+F35+F46+F57+F68+F79+F90+F101+F112+F123+F134</f>
        <v>47520822.93</v>
      </c>
      <c r="G145" s="448">
        <f>G7+G12+G18+G23+G29+G35+G46+G57+G68+G79+G90+G101+G112+G123+G134</f>
        <v>107873564.3</v>
      </c>
      <c r="H145" s="450">
        <f>H7+H12+H18+H23+H29+H35+H46+H57+H68+H79+H90+H101+H112+H123+H134</f>
        <v>212153158.75</v>
      </c>
      <c r="I145" s="514">
        <f t="shared" si="16"/>
        <v>-104279594.45</v>
      </c>
      <c r="J145" s="515">
        <f t="shared" si="17"/>
        <v>-0.49152977530201397</v>
      </c>
      <c r="K145" s="449">
        <f>K7+K12+K18+K23+K29+K35+K46+K57+K68+K79+K90+K101+K112+K123+K134</f>
        <v>509167581</v>
      </c>
      <c r="L145" s="446"/>
      <c r="M145" s="40"/>
      <c r="N145" s="40"/>
      <c r="O145" s="40"/>
      <c r="P145" s="40"/>
      <c r="Q145" s="40"/>
      <c r="R145" s="40"/>
      <c r="S145" s="40"/>
      <c r="T145" s="40"/>
      <c r="U145" s="40"/>
      <c r="V145" s="40"/>
      <c r="W145" s="40"/>
    </row>
    <row r="146" spans="1:25" ht="3" customHeight="1" x14ac:dyDescent="0.25">
      <c r="A146" s="454"/>
      <c r="B146" s="455"/>
      <c r="C146" s="505"/>
      <c r="D146" s="459"/>
      <c r="E146" s="456"/>
      <c r="F146" s="458"/>
      <c r="G146" s="456"/>
      <c r="H146" s="458"/>
      <c r="I146" s="115">
        <f t="shared" si="16"/>
        <v>0</v>
      </c>
      <c r="J146" s="133" t="str">
        <f t="shared" si="17"/>
        <v/>
      </c>
      <c r="K146" s="457"/>
      <c r="L146" s="446"/>
      <c r="M146" s="40"/>
      <c r="N146" s="40"/>
      <c r="O146" s="40"/>
      <c r="P146" s="40"/>
      <c r="Q146" s="40"/>
      <c r="R146" s="40"/>
      <c r="S146" s="40"/>
      <c r="T146" s="40"/>
      <c r="U146" s="40"/>
      <c r="V146" s="40"/>
      <c r="W146" s="40"/>
    </row>
    <row r="147" spans="1:25"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5" ht="11.25" customHeight="1" x14ac:dyDescent="0.25">
      <c r="A148" s="35" t="s">
        <v>801</v>
      </c>
      <c r="B148" s="415">
        <v>1</v>
      </c>
      <c r="C148" s="704"/>
      <c r="D148" s="705"/>
      <c r="E148" s="706"/>
      <c r="F148" s="707"/>
      <c r="G148" s="706"/>
      <c r="H148" s="707"/>
      <c r="I148" s="44">
        <f t="shared" si="16"/>
        <v>0</v>
      </c>
      <c r="J148" s="330" t="str">
        <f t="shared" si="17"/>
        <v/>
      </c>
      <c r="K148" s="708"/>
      <c r="L148" s="446"/>
      <c r="M148" s="40"/>
      <c r="N148" s="40"/>
      <c r="O148" s="40"/>
      <c r="P148" s="40"/>
      <c r="Q148" s="40"/>
      <c r="R148" s="40"/>
      <c r="S148" s="40"/>
      <c r="T148" s="40"/>
      <c r="U148" s="40"/>
      <c r="V148" s="40"/>
      <c r="W148" s="40"/>
    </row>
    <row r="149" spans="1:25" ht="11.25" customHeight="1" x14ac:dyDescent="0.25">
      <c r="A149" s="466" t="str">
        <f>'Org structure'!A2</f>
        <v>Vote 1 - City Manager</v>
      </c>
      <c r="B149" s="467"/>
      <c r="C149" s="507">
        <f t="shared" ref="C149:K149" si="22">SUM(C150:C159)</f>
        <v>0</v>
      </c>
      <c r="D149" s="471">
        <f t="shared" si="22"/>
        <v>0</v>
      </c>
      <c r="E149" s="468">
        <f t="shared" si="22"/>
        <v>0</v>
      </c>
      <c r="F149" s="470">
        <f t="shared" si="22"/>
        <v>0</v>
      </c>
      <c r="G149" s="468">
        <f t="shared" si="22"/>
        <v>1135600</v>
      </c>
      <c r="H149" s="470">
        <f t="shared" si="22"/>
        <v>0</v>
      </c>
      <c r="I149" s="44">
        <f t="shared" si="16"/>
        <v>1135600</v>
      </c>
      <c r="J149" s="330" t="e">
        <f t="shared" si="17"/>
        <v>#DIV/0!</v>
      </c>
      <c r="K149" s="469">
        <f t="shared" si="22"/>
        <v>0</v>
      </c>
      <c r="L149" s="446"/>
      <c r="M149" s="40"/>
      <c r="N149" s="40"/>
      <c r="O149" s="40"/>
      <c r="P149" s="40"/>
      <c r="Q149" s="40"/>
      <c r="R149" s="40"/>
      <c r="S149" s="40"/>
      <c r="T149" s="40"/>
      <c r="U149" s="40"/>
      <c r="V149" s="40"/>
      <c r="W149" s="40"/>
      <c r="Y149" s="630"/>
    </row>
    <row r="150" spans="1:25" ht="11.25" customHeight="1" x14ac:dyDescent="0.25">
      <c r="A150" s="407" t="str">
        <f>'Org structure'!E3</f>
        <v>1.1 - Internal Audit and Compliance</v>
      </c>
      <c r="B150" s="445"/>
      <c r="C150" s="744"/>
      <c r="D150" s="745"/>
      <c r="E150" s="733"/>
      <c r="F150" s="746"/>
      <c r="G150" s="733"/>
      <c r="H150" s="746"/>
      <c r="I150" s="44">
        <f t="shared" si="16"/>
        <v>0</v>
      </c>
      <c r="J150" s="330" t="str">
        <f t="shared" si="17"/>
        <v/>
      </c>
      <c r="K150" s="747"/>
      <c r="L150" s="446"/>
      <c r="M150" s="40"/>
      <c r="N150" s="40"/>
      <c r="O150" s="40"/>
      <c r="P150" s="40"/>
      <c r="Q150" s="40"/>
      <c r="R150" s="40"/>
      <c r="S150" s="40"/>
      <c r="T150" s="40"/>
      <c r="U150" s="40"/>
      <c r="V150" s="40"/>
      <c r="W150" s="40"/>
      <c r="Y150" s="630"/>
    </row>
    <row r="151" spans="1:25" ht="11.25" customHeight="1" x14ac:dyDescent="0.25">
      <c r="A151" s="407" t="str">
        <f>'Org structure'!E4</f>
        <v>1.2 - Office of the City Manager</v>
      </c>
      <c r="B151" s="445"/>
      <c r="C151" s="744"/>
      <c r="D151" s="745"/>
      <c r="E151" s="733"/>
      <c r="F151" s="746"/>
      <c r="G151" s="733">
        <v>1135600</v>
      </c>
      <c r="H151" s="746"/>
      <c r="I151" s="44">
        <f t="shared" si="16"/>
        <v>1135600</v>
      </c>
      <c r="J151" s="330" t="e">
        <f t="shared" si="17"/>
        <v>#DIV/0!</v>
      </c>
      <c r="K151" s="747"/>
      <c r="L151" s="446"/>
      <c r="M151" s="40"/>
      <c r="N151" s="40"/>
      <c r="O151" s="40"/>
      <c r="P151" s="40"/>
      <c r="Q151" s="40"/>
      <c r="R151" s="40"/>
      <c r="S151" s="40"/>
      <c r="T151" s="40"/>
      <c r="U151" s="40"/>
      <c r="V151" s="40"/>
      <c r="W151" s="40"/>
    </row>
    <row r="152" spans="1:25" ht="11.25" customHeight="1" x14ac:dyDescent="0.25">
      <c r="A152" s="407" t="str">
        <f>'Org structure'!E5</f>
        <v>1.3 - Political Support</v>
      </c>
      <c r="B152" s="445"/>
      <c r="C152" s="744"/>
      <c r="D152" s="745"/>
      <c r="E152" s="733"/>
      <c r="F152" s="746"/>
      <c r="G152" s="733"/>
      <c r="H152" s="746"/>
      <c r="I152" s="44">
        <f t="shared" si="16"/>
        <v>0</v>
      </c>
      <c r="J152" s="330" t="str">
        <f t="shared" si="17"/>
        <v/>
      </c>
      <c r="K152" s="747"/>
      <c r="L152" s="446"/>
      <c r="M152" s="40"/>
      <c r="N152" s="40"/>
      <c r="O152" s="40"/>
      <c r="P152" s="40"/>
      <c r="Q152" s="40"/>
      <c r="R152" s="40"/>
      <c r="S152" s="40"/>
      <c r="T152" s="40"/>
      <c r="U152" s="40"/>
      <c r="V152" s="40"/>
      <c r="W152" s="40"/>
    </row>
    <row r="153" spans="1:25" ht="11.25" customHeight="1" x14ac:dyDescent="0.25">
      <c r="A153" s="407" t="str">
        <f>'Org structure'!E6</f>
        <v>1.4 - Strategic Planning</v>
      </c>
      <c r="B153" s="445"/>
      <c r="C153" s="744"/>
      <c r="D153" s="745"/>
      <c r="E153" s="733"/>
      <c r="F153" s="746"/>
      <c r="G153" s="733"/>
      <c r="H153" s="746"/>
      <c r="I153" s="44">
        <f t="shared" si="16"/>
        <v>0</v>
      </c>
      <c r="J153" s="330" t="str">
        <f t="shared" si="17"/>
        <v/>
      </c>
      <c r="K153" s="747"/>
      <c r="L153" s="446"/>
      <c r="M153" s="40"/>
      <c r="N153" s="40"/>
      <c r="O153" s="40"/>
      <c r="P153" s="40"/>
      <c r="Q153" s="40"/>
      <c r="R153" s="40"/>
      <c r="S153" s="40"/>
      <c r="T153" s="40"/>
      <c r="U153" s="40"/>
      <c r="V153" s="40"/>
      <c r="W153" s="40"/>
    </row>
    <row r="154" spans="1:25" ht="11.25" hidden="1" customHeight="1" x14ac:dyDescent="0.25">
      <c r="A154" s="407">
        <f>'Org structure'!E7</f>
        <v>0</v>
      </c>
      <c r="B154" s="445"/>
      <c r="C154" s="744"/>
      <c r="D154" s="745"/>
      <c r="E154" s="733"/>
      <c r="F154" s="746"/>
      <c r="G154" s="733"/>
      <c r="H154" s="746"/>
      <c r="I154" s="44">
        <f t="shared" si="16"/>
        <v>0</v>
      </c>
      <c r="J154" s="330" t="str">
        <f t="shared" si="17"/>
        <v/>
      </c>
      <c r="K154" s="747"/>
      <c r="L154" s="446"/>
      <c r="M154" s="40"/>
      <c r="N154" s="40"/>
      <c r="O154" s="40"/>
      <c r="P154" s="40"/>
      <c r="Q154" s="40"/>
      <c r="R154" s="40"/>
      <c r="S154" s="40"/>
      <c r="T154" s="40"/>
      <c r="U154" s="40"/>
      <c r="V154" s="40"/>
      <c r="W154" s="40"/>
    </row>
    <row r="155" spans="1:25" ht="11.25" hidden="1" customHeight="1" x14ac:dyDescent="0.25">
      <c r="A155" s="407">
        <f>'Org structure'!E8</f>
        <v>0</v>
      </c>
      <c r="B155" s="445"/>
      <c r="C155" s="744"/>
      <c r="D155" s="745"/>
      <c r="E155" s="733"/>
      <c r="F155" s="746"/>
      <c r="G155" s="733"/>
      <c r="H155" s="746"/>
      <c r="I155" s="44">
        <f t="shared" si="16"/>
        <v>0</v>
      </c>
      <c r="J155" s="330" t="str">
        <f t="shared" si="17"/>
        <v/>
      </c>
      <c r="K155" s="747"/>
      <c r="L155" s="446"/>
      <c r="M155" s="40"/>
      <c r="N155" s="40"/>
      <c r="O155" s="40"/>
      <c r="P155" s="40"/>
      <c r="Q155" s="40"/>
      <c r="R155" s="40"/>
      <c r="S155" s="40"/>
      <c r="T155" s="40"/>
      <c r="U155" s="40"/>
      <c r="V155" s="40"/>
      <c r="W155" s="40"/>
    </row>
    <row r="156" spans="1:25" ht="11.25" hidden="1" customHeight="1" x14ac:dyDescent="0.25">
      <c r="A156" s="407">
        <f>'Org structure'!E9</f>
        <v>0</v>
      </c>
      <c r="B156" s="445"/>
      <c r="C156" s="744"/>
      <c r="D156" s="745"/>
      <c r="E156" s="733"/>
      <c r="F156" s="746"/>
      <c r="G156" s="733"/>
      <c r="H156" s="746"/>
      <c r="I156" s="44">
        <f t="shared" si="16"/>
        <v>0</v>
      </c>
      <c r="J156" s="330" t="str">
        <f t="shared" si="17"/>
        <v/>
      </c>
      <c r="K156" s="747"/>
      <c r="L156" s="446"/>
      <c r="M156" s="40"/>
      <c r="N156" s="40"/>
      <c r="O156" s="40"/>
      <c r="P156" s="40"/>
      <c r="Q156" s="40"/>
      <c r="R156" s="40"/>
      <c r="S156" s="40"/>
      <c r="T156" s="40"/>
      <c r="U156" s="40"/>
      <c r="V156" s="40"/>
      <c r="W156" s="40"/>
    </row>
    <row r="157" spans="1:25" ht="11.25" hidden="1" customHeight="1" x14ac:dyDescent="0.25">
      <c r="A157" s="407">
        <f>'Org structure'!E10</f>
        <v>0</v>
      </c>
      <c r="B157" s="445"/>
      <c r="C157" s="744"/>
      <c r="D157" s="745"/>
      <c r="E157" s="733"/>
      <c r="F157" s="746"/>
      <c r="G157" s="733"/>
      <c r="H157" s="746"/>
      <c r="I157" s="44">
        <f t="shared" si="16"/>
        <v>0</v>
      </c>
      <c r="J157" s="330" t="str">
        <f t="shared" si="17"/>
        <v/>
      </c>
      <c r="K157" s="747"/>
      <c r="L157" s="446"/>
      <c r="M157" s="40"/>
      <c r="N157" s="40"/>
      <c r="O157" s="40"/>
      <c r="P157" s="40"/>
      <c r="Q157" s="40"/>
      <c r="R157" s="40"/>
      <c r="S157" s="40"/>
      <c r="T157" s="40"/>
      <c r="U157" s="40"/>
      <c r="V157" s="40"/>
      <c r="W157" s="40"/>
    </row>
    <row r="158" spans="1:25" ht="11.25" hidden="1" customHeight="1" x14ac:dyDescent="0.25">
      <c r="A158" s="407">
        <f>'Org structure'!E11</f>
        <v>0</v>
      </c>
      <c r="B158" s="445"/>
      <c r="C158" s="744"/>
      <c r="D158" s="745"/>
      <c r="E158" s="733"/>
      <c r="F158" s="746"/>
      <c r="G158" s="733"/>
      <c r="H158" s="746"/>
      <c r="I158" s="44">
        <f t="shared" si="16"/>
        <v>0</v>
      </c>
      <c r="J158" s="330" t="str">
        <f t="shared" si="17"/>
        <v/>
      </c>
      <c r="K158" s="747"/>
      <c r="L158" s="446"/>
      <c r="M158" s="40"/>
      <c r="N158" s="40"/>
      <c r="O158" s="40"/>
      <c r="P158" s="40"/>
      <c r="Q158" s="40"/>
      <c r="R158" s="40"/>
      <c r="S158" s="40"/>
      <c r="T158" s="40"/>
      <c r="U158" s="40"/>
      <c r="V158" s="40"/>
      <c r="W158" s="40"/>
    </row>
    <row r="159" spans="1:25" ht="11.25" hidden="1" customHeight="1" x14ac:dyDescent="0.25">
      <c r="A159" s="407">
        <f>'Org structure'!E12</f>
        <v>0</v>
      </c>
      <c r="B159" s="445"/>
      <c r="C159" s="744"/>
      <c r="D159" s="745"/>
      <c r="E159" s="733"/>
      <c r="F159" s="746"/>
      <c r="G159" s="733"/>
      <c r="H159" s="746"/>
      <c r="I159" s="44">
        <f t="shared" si="16"/>
        <v>0</v>
      </c>
      <c r="J159" s="330" t="str">
        <f t="shared" si="17"/>
        <v/>
      </c>
      <c r="K159" s="747"/>
      <c r="L159" s="48"/>
      <c r="M159" s="473"/>
      <c r="N159" s="473"/>
      <c r="O159" s="473"/>
      <c r="P159" s="473"/>
      <c r="Q159" s="473"/>
      <c r="R159" s="473"/>
      <c r="S159" s="473"/>
      <c r="T159" s="473"/>
      <c r="U159" s="473"/>
      <c r="V159" s="473"/>
      <c r="W159" s="473"/>
    </row>
    <row r="160" spans="1:25" ht="11.25" customHeight="1" x14ac:dyDescent="0.25">
      <c r="A160" s="466" t="str">
        <f>'Org structure'!A3</f>
        <v>Vote 2 - City Finance</v>
      </c>
      <c r="B160" s="440"/>
      <c r="C160" s="503">
        <f>SUM(C161:C170)</f>
        <v>0</v>
      </c>
      <c r="D160" s="444">
        <f>SUM(D161:D170)</f>
        <v>15000000</v>
      </c>
      <c r="E160" s="441">
        <f t="shared" ref="E160:K160" si="23">SUM(E161:E170)</f>
        <v>15800000</v>
      </c>
      <c r="F160" s="443">
        <f t="shared" si="23"/>
        <v>97000</v>
      </c>
      <c r="G160" s="441">
        <f t="shared" si="23"/>
        <v>0</v>
      </c>
      <c r="H160" s="443">
        <f t="shared" si="23"/>
        <v>6583333.333333333</v>
      </c>
      <c r="I160" s="44">
        <f t="shared" si="16"/>
        <v>-6583333.333333333</v>
      </c>
      <c r="J160" s="330">
        <f t="shared" si="17"/>
        <v>-1</v>
      </c>
      <c r="K160" s="442">
        <f t="shared" si="23"/>
        <v>15800000</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15000000</v>
      </c>
      <c r="F161" s="746"/>
      <c r="G161" s="733"/>
      <c r="H161" s="746">
        <f>E161/12*5</f>
        <v>6250000</v>
      </c>
      <c r="I161" s="44">
        <f t="shared" si="16"/>
        <v>-6250000</v>
      </c>
      <c r="J161" s="330">
        <f t="shared" si="17"/>
        <v>-1</v>
      </c>
      <c r="K161" s="747">
        <f>E161</f>
        <v>15000000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300000</v>
      </c>
      <c r="F162" s="746">
        <v>97000</v>
      </c>
      <c r="G162" s="733"/>
      <c r="H162" s="746">
        <f>E162/12*5</f>
        <v>125000</v>
      </c>
      <c r="I162" s="44">
        <f t="shared" si="16"/>
        <v>-125000</v>
      </c>
      <c r="J162" s="330">
        <f t="shared" si="17"/>
        <v>-1</v>
      </c>
      <c r="K162" s="747">
        <f>E162</f>
        <v>300000</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16"/>
        <v>0</v>
      </c>
      <c r="J163" s="330" t="str">
        <f t="shared" si="17"/>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16"/>
        <v>0</v>
      </c>
      <c r="J164" s="330" t="str">
        <f t="shared" si="17"/>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500000</v>
      </c>
      <c r="F165" s="746"/>
      <c r="G165" s="733"/>
      <c r="H165" s="746">
        <f>E165/12*5</f>
        <v>208333.33333333331</v>
      </c>
      <c r="I165" s="44">
        <f t="shared" si="16"/>
        <v>-208333.33333333331</v>
      </c>
      <c r="J165" s="330">
        <f t="shared" si="17"/>
        <v>-1</v>
      </c>
      <c r="K165" s="747">
        <f>E165</f>
        <v>500000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16"/>
        <v>0</v>
      </c>
      <c r="J166" s="330" t="str">
        <f t="shared" si="17"/>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16"/>
        <v>0</v>
      </c>
      <c r="J167" s="330" t="str">
        <f t="shared" si="17"/>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16"/>
        <v>0</v>
      </c>
      <c r="J168" s="330" t="str">
        <f t="shared" si="17"/>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16"/>
        <v>0</v>
      </c>
      <c r="J169" s="330" t="str">
        <f t="shared" si="17"/>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16"/>
        <v>0</v>
      </c>
      <c r="J170" s="330" t="str">
        <f t="shared" si="17"/>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24">SUM(C172:C181)</f>
        <v>0</v>
      </c>
      <c r="D171" s="444">
        <f t="shared" si="24"/>
        <v>13700000</v>
      </c>
      <c r="E171" s="441">
        <f t="shared" si="24"/>
        <v>33700000</v>
      </c>
      <c r="F171" s="443">
        <f t="shared" si="24"/>
        <v>6117365.3600000003</v>
      </c>
      <c r="G171" s="441">
        <f t="shared" si="24"/>
        <v>10453375.890000001</v>
      </c>
      <c r="H171" s="443">
        <f t="shared" si="24"/>
        <v>14041666.666666668</v>
      </c>
      <c r="I171" s="44">
        <f t="shared" si="16"/>
        <v>-3588290.7766666673</v>
      </c>
      <c r="J171" s="330">
        <f t="shared" si="17"/>
        <v>-0.25554593068249259</v>
      </c>
      <c r="K171" s="442">
        <f t="shared" si="24"/>
        <v>33700000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v>10000000</v>
      </c>
      <c r="F172" s="746"/>
      <c r="G172" s="733">
        <v>3505476</v>
      </c>
      <c r="H172" s="746">
        <f>E172/12*5</f>
        <v>4166666.666666667</v>
      </c>
      <c r="I172" s="44">
        <f t="shared" si="16"/>
        <v>-661190.66666666698</v>
      </c>
      <c r="J172" s="330">
        <f t="shared" si="17"/>
        <v>-0.15868576000000006</v>
      </c>
      <c r="K172" s="747">
        <f>E172</f>
        <v>10000000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c r="F173" s="746"/>
      <c r="G173" s="733"/>
      <c r="H173" s="746"/>
      <c r="I173" s="44">
        <f t="shared" ref="I173:I236" si="25">G173-H173</f>
        <v>0</v>
      </c>
      <c r="J173" s="330" t="str">
        <f t="shared" ref="J173:J236" si="26">IF(I173=0,"",I173/H173)</f>
        <v/>
      </c>
      <c r="K173" s="747"/>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11200000</v>
      </c>
      <c r="F174" s="472"/>
      <c r="G174" s="384">
        <v>-701473.12000000011</v>
      </c>
      <c r="H174" s="472">
        <f>E174/12*5</f>
        <v>4666666.666666667</v>
      </c>
      <c r="I174" s="44">
        <f t="shared" si="25"/>
        <v>-5368139.7866666671</v>
      </c>
      <c r="J174" s="330">
        <f t="shared" si="26"/>
        <v>-1.1503156685714286</v>
      </c>
      <c r="K174" s="395">
        <f>E174</f>
        <v>11200000</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12500000</v>
      </c>
      <c r="F175" s="472">
        <v>6117365.3600000003</v>
      </c>
      <c r="G175" s="384">
        <v>7649373.0099999998</v>
      </c>
      <c r="H175" s="472">
        <f>E175/12*5</f>
        <v>5208333.333333333</v>
      </c>
      <c r="I175" s="44">
        <f t="shared" si="25"/>
        <v>2441039.6766666668</v>
      </c>
      <c r="J175" s="330">
        <f t="shared" si="26"/>
        <v>0.46867961792000007</v>
      </c>
      <c r="K175" s="395">
        <f>E175</f>
        <v>12500000</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25"/>
        <v>0</v>
      </c>
      <c r="J176" s="330" t="str">
        <f t="shared" si="26"/>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25"/>
        <v>0</v>
      </c>
      <c r="J177" s="330" t="str">
        <f t="shared" si="26"/>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25"/>
        <v>0</v>
      </c>
      <c r="J178" s="330" t="str">
        <f t="shared" si="26"/>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25"/>
        <v>0</v>
      </c>
      <c r="J179" s="330" t="str">
        <f t="shared" si="26"/>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25"/>
        <v>0</v>
      </c>
      <c r="J180" s="330" t="str">
        <f t="shared" si="26"/>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25"/>
        <v>0</v>
      </c>
      <c r="J181" s="330" t="str">
        <f t="shared" si="26"/>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27">SUM(C183:C192)</f>
        <v>0</v>
      </c>
      <c r="D182" s="444">
        <f t="shared" si="27"/>
        <v>0</v>
      </c>
      <c r="E182" s="441">
        <f t="shared" si="27"/>
        <v>0</v>
      </c>
      <c r="F182" s="443">
        <f t="shared" si="27"/>
        <v>0</v>
      </c>
      <c r="G182" s="441">
        <f t="shared" si="27"/>
        <v>7200</v>
      </c>
      <c r="H182" s="443">
        <f t="shared" si="27"/>
        <v>0</v>
      </c>
      <c r="I182" s="44">
        <f t="shared" si="25"/>
        <v>7200</v>
      </c>
      <c r="J182" s="330" t="e">
        <f t="shared" si="26"/>
        <v>#DIV/0!</v>
      </c>
      <c r="K182" s="442">
        <f t="shared" si="27"/>
        <v>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c r="G183" s="384">
        <v>7200</v>
      </c>
      <c r="H183" s="472"/>
      <c r="I183" s="44">
        <f t="shared" si="25"/>
        <v>7200</v>
      </c>
      <c r="J183" s="330" t="e">
        <f t="shared" si="26"/>
        <v>#DIV/0!</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c r="F184" s="472"/>
      <c r="G184" s="384"/>
      <c r="H184" s="472"/>
      <c r="I184" s="44">
        <f t="shared" si="25"/>
        <v>0</v>
      </c>
      <c r="J184" s="330" t="str">
        <f t="shared" si="26"/>
        <v/>
      </c>
      <c r="K184" s="395"/>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25"/>
        <v>0</v>
      </c>
      <c r="J185" s="330" t="str">
        <f t="shared" si="26"/>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25"/>
        <v>0</v>
      </c>
      <c r="J186" s="330" t="str">
        <f t="shared" si="26"/>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25"/>
        <v>0</v>
      </c>
      <c r="J187" s="330" t="str">
        <f t="shared" si="26"/>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25"/>
        <v>0</v>
      </c>
      <c r="J188" s="330" t="str">
        <f t="shared" si="26"/>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25"/>
        <v>0</v>
      </c>
      <c r="J189" s="330" t="str">
        <f t="shared" si="26"/>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25"/>
        <v>0</v>
      </c>
      <c r="J190" s="330" t="str">
        <f t="shared" si="26"/>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25"/>
        <v>0</v>
      </c>
      <c r="J191" s="330" t="str">
        <f t="shared" si="26"/>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25"/>
        <v>0</v>
      </c>
      <c r="J192" s="330" t="str">
        <f t="shared" si="26"/>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28">SUM(C194:C203)</f>
        <v>0</v>
      </c>
      <c r="D193" s="444">
        <f t="shared" si="28"/>
        <v>33000000</v>
      </c>
      <c r="E193" s="441">
        <f t="shared" si="28"/>
        <v>53300000</v>
      </c>
      <c r="F193" s="443">
        <f t="shared" si="28"/>
        <v>10131793.559999999</v>
      </c>
      <c r="G193" s="441">
        <f t="shared" si="28"/>
        <v>61052517.960000016</v>
      </c>
      <c r="H193" s="443">
        <f t="shared" si="28"/>
        <v>22208333.333333336</v>
      </c>
      <c r="I193" s="44">
        <f t="shared" si="25"/>
        <v>38844184.62666668</v>
      </c>
      <c r="J193" s="330">
        <f t="shared" si="26"/>
        <v>1.7490814841275801</v>
      </c>
      <c r="K193" s="442">
        <f t="shared" si="28"/>
        <v>53300000</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19800000</v>
      </c>
      <c r="F194" s="472">
        <v>352047.06</v>
      </c>
      <c r="G194" s="384">
        <v>8352047.0599999996</v>
      </c>
      <c r="H194" s="472">
        <f>E194/12*5</f>
        <v>8250000</v>
      </c>
      <c r="I194" s="44">
        <f t="shared" si="25"/>
        <v>102047.05999999959</v>
      </c>
      <c r="J194" s="330">
        <f t="shared" si="26"/>
        <v>1.2369340606060557E-2</v>
      </c>
      <c r="K194" s="395">
        <f>E194</f>
        <v>19800000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c r="G195" s="384">
        <v>8072989.0099999998</v>
      </c>
      <c r="H195" s="472"/>
      <c r="I195" s="44">
        <f t="shared" si="25"/>
        <v>8072989.0099999998</v>
      </c>
      <c r="J195" s="330" t="e">
        <f t="shared" si="26"/>
        <v>#DIV/0!</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10000000</v>
      </c>
      <c r="F196" s="472">
        <v>2318498.81</v>
      </c>
      <c r="G196" s="384">
        <v>2530118.2800000003</v>
      </c>
      <c r="H196" s="472">
        <f>E196/12*5</f>
        <v>4166666.666666667</v>
      </c>
      <c r="I196" s="44">
        <f t="shared" si="25"/>
        <v>-1636548.3866666667</v>
      </c>
      <c r="J196" s="330">
        <f t="shared" si="26"/>
        <v>-0.3927716128</v>
      </c>
      <c r="K196" s="395">
        <f>E196</f>
        <v>10000000</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23500000</v>
      </c>
      <c r="F197" s="472">
        <v>7461247.6899999995</v>
      </c>
      <c r="G197" s="384">
        <v>42097363.610000014</v>
      </c>
      <c r="H197" s="472">
        <f>E197/12*5</f>
        <v>9791666.666666666</v>
      </c>
      <c r="I197" s="44">
        <f t="shared" si="25"/>
        <v>32305696.94333335</v>
      </c>
      <c r="J197" s="330">
        <f t="shared" si="26"/>
        <v>3.2993052197446828</v>
      </c>
      <c r="K197" s="395">
        <f>E197</f>
        <v>23500000</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25"/>
        <v>0</v>
      </c>
      <c r="J198" s="330" t="str">
        <f t="shared" si="26"/>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25"/>
        <v>0</v>
      </c>
      <c r="J199" s="330" t="str">
        <f t="shared" si="26"/>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25"/>
        <v>0</v>
      </c>
      <c r="J200" s="330" t="str">
        <f t="shared" si="26"/>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25"/>
        <v>0</v>
      </c>
      <c r="J201" s="330" t="str">
        <f t="shared" si="26"/>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25"/>
        <v>0</v>
      </c>
      <c r="J202" s="330" t="str">
        <f t="shared" si="26"/>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25"/>
        <v>0</v>
      </c>
      <c r="J203" s="330" t="str">
        <f t="shared" si="26"/>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29">SUM(C205:C214)</f>
        <v>0</v>
      </c>
      <c r="D204" s="444">
        <f t="shared" si="29"/>
        <v>10024000</v>
      </c>
      <c r="E204" s="441">
        <f t="shared" si="29"/>
        <v>10024000</v>
      </c>
      <c r="F204" s="443">
        <f t="shared" si="29"/>
        <v>1050024.72</v>
      </c>
      <c r="G204" s="441">
        <f t="shared" si="29"/>
        <v>-32598.679999999935</v>
      </c>
      <c r="H204" s="443">
        <f t="shared" si="29"/>
        <v>4176666.666666667</v>
      </c>
      <c r="I204" s="44">
        <f t="shared" si="25"/>
        <v>-4209265.3466666667</v>
      </c>
      <c r="J204" s="330">
        <f t="shared" si="26"/>
        <v>-1.0078049513168394</v>
      </c>
      <c r="K204" s="442">
        <f t="shared" si="29"/>
        <v>10024000</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774000</v>
      </c>
      <c r="F205" s="472">
        <v>1050024.72</v>
      </c>
      <c r="G205" s="384">
        <v>-32598.679999999935</v>
      </c>
      <c r="H205" s="472">
        <f>E205/12*5</f>
        <v>322500</v>
      </c>
      <c r="I205" s="44">
        <f t="shared" si="25"/>
        <v>-355098.67999999993</v>
      </c>
      <c r="J205" s="330">
        <f t="shared" si="26"/>
        <v>-1.1010811782945735</v>
      </c>
      <c r="K205" s="395">
        <f>E205</f>
        <v>774000</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v>2500000</v>
      </c>
      <c r="F206" s="472"/>
      <c r="G206" s="384"/>
      <c r="H206" s="472">
        <f>E206/12*5</f>
        <v>1041666.6666666667</v>
      </c>
      <c r="I206" s="44">
        <f t="shared" si="25"/>
        <v>-1041666.6666666667</v>
      </c>
      <c r="J206" s="330">
        <f t="shared" si="26"/>
        <v>-1</v>
      </c>
      <c r="K206" s="395">
        <f>E206</f>
        <v>2500000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6750000</v>
      </c>
      <c r="F207" s="472"/>
      <c r="G207" s="384"/>
      <c r="H207" s="472">
        <f>E207/12*5</f>
        <v>2812500</v>
      </c>
      <c r="I207" s="44">
        <f t="shared" si="25"/>
        <v>-2812500</v>
      </c>
      <c r="J207" s="330">
        <f t="shared" si="26"/>
        <v>-1</v>
      </c>
      <c r="K207" s="395">
        <f>E207</f>
        <v>6750000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c r="F208" s="472"/>
      <c r="G208" s="384"/>
      <c r="H208" s="472"/>
      <c r="I208" s="44">
        <f t="shared" si="25"/>
        <v>0</v>
      </c>
      <c r="J208" s="330" t="str">
        <f t="shared" si="26"/>
        <v/>
      </c>
      <c r="K208" s="395"/>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25"/>
        <v>0</v>
      </c>
      <c r="J209" s="330" t="str">
        <f t="shared" si="26"/>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25"/>
        <v>0</v>
      </c>
      <c r="J210" s="330" t="str">
        <f t="shared" si="26"/>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25"/>
        <v>0</v>
      </c>
      <c r="J211" s="330" t="str">
        <f t="shared" si="26"/>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25"/>
        <v>0</v>
      </c>
      <c r="J212" s="330" t="str">
        <f t="shared" si="26"/>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25"/>
        <v>0</v>
      </c>
      <c r="J213" s="330" t="str">
        <f t="shared" si="26"/>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25"/>
        <v>0</v>
      </c>
      <c r="J214" s="330" t="str">
        <f t="shared" si="26"/>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30">SUM(C216:C225)</f>
        <v>0</v>
      </c>
      <c r="D215" s="444">
        <f t="shared" si="30"/>
        <v>0</v>
      </c>
      <c r="E215" s="441">
        <f t="shared" si="30"/>
        <v>0</v>
      </c>
      <c r="F215" s="443">
        <f t="shared" si="30"/>
        <v>0</v>
      </c>
      <c r="G215" s="441">
        <f t="shared" si="30"/>
        <v>0</v>
      </c>
      <c r="H215" s="443">
        <f t="shared" si="30"/>
        <v>0</v>
      </c>
      <c r="I215" s="44">
        <f t="shared" si="25"/>
        <v>0</v>
      </c>
      <c r="J215" s="330" t="str">
        <f t="shared" si="26"/>
        <v/>
      </c>
      <c r="K215" s="442">
        <f t="shared" si="30"/>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25"/>
        <v>0</v>
      </c>
      <c r="J216" s="330" t="str">
        <f t="shared" si="26"/>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25"/>
        <v>0</v>
      </c>
      <c r="J217" s="330" t="str">
        <f t="shared" si="26"/>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25"/>
        <v>0</v>
      </c>
      <c r="J218" s="330" t="str">
        <f t="shared" si="26"/>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25"/>
        <v>0</v>
      </c>
      <c r="J219" s="330" t="str">
        <f t="shared" si="26"/>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25"/>
        <v>0</v>
      </c>
      <c r="J220" s="330" t="str">
        <f t="shared" si="26"/>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25"/>
        <v>0</v>
      </c>
      <c r="J221" s="330" t="str">
        <f t="shared" si="26"/>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25"/>
        <v>0</v>
      </c>
      <c r="J222" s="330" t="str">
        <f t="shared" si="26"/>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25"/>
        <v>0</v>
      </c>
      <c r="J223" s="330" t="str">
        <f t="shared" si="26"/>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25"/>
        <v>0</v>
      </c>
      <c r="J224" s="330" t="str">
        <f t="shared" si="26"/>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25"/>
        <v>0</v>
      </c>
      <c r="J225" s="330" t="str">
        <f t="shared" si="26"/>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31">SUM(C227:C236)</f>
        <v>0</v>
      </c>
      <c r="D226" s="444">
        <f t="shared" si="31"/>
        <v>0</v>
      </c>
      <c r="E226" s="441">
        <f t="shared" si="31"/>
        <v>0</v>
      </c>
      <c r="F226" s="443">
        <f t="shared" si="31"/>
        <v>0</v>
      </c>
      <c r="G226" s="441">
        <f t="shared" si="31"/>
        <v>0</v>
      </c>
      <c r="H226" s="443">
        <f t="shared" si="31"/>
        <v>0</v>
      </c>
      <c r="I226" s="44">
        <f t="shared" si="25"/>
        <v>0</v>
      </c>
      <c r="J226" s="330" t="str">
        <f t="shared" si="26"/>
        <v/>
      </c>
      <c r="K226" s="442">
        <f t="shared" si="31"/>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25"/>
        <v>0</v>
      </c>
      <c r="J227" s="330" t="str">
        <f t="shared" si="26"/>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25"/>
        <v>0</v>
      </c>
      <c r="J228" s="330" t="str">
        <f t="shared" si="26"/>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25"/>
        <v>0</v>
      </c>
      <c r="J229" s="330" t="str">
        <f t="shared" si="26"/>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25"/>
        <v>0</v>
      </c>
      <c r="J230" s="330" t="str">
        <f t="shared" si="26"/>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25"/>
        <v>0</v>
      </c>
      <c r="J231" s="330" t="str">
        <f t="shared" si="26"/>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25"/>
        <v>0</v>
      </c>
      <c r="J232" s="330" t="str">
        <f t="shared" si="26"/>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25"/>
        <v>0</v>
      </c>
      <c r="J233" s="330" t="str">
        <f t="shared" si="26"/>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25"/>
        <v>0</v>
      </c>
      <c r="J234" s="330" t="str">
        <f t="shared" si="26"/>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25"/>
        <v>0</v>
      </c>
      <c r="J235" s="330" t="str">
        <f t="shared" si="26"/>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25"/>
        <v>0</v>
      </c>
      <c r="J236" s="330" t="str">
        <f t="shared" si="26"/>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32">SUM(C238:C247)</f>
        <v>0</v>
      </c>
      <c r="D237" s="444">
        <f t="shared" si="32"/>
        <v>0</v>
      </c>
      <c r="E237" s="441">
        <f t="shared" si="32"/>
        <v>0</v>
      </c>
      <c r="F237" s="443">
        <f t="shared" si="32"/>
        <v>0</v>
      </c>
      <c r="G237" s="441">
        <f t="shared" si="32"/>
        <v>0</v>
      </c>
      <c r="H237" s="443">
        <f t="shared" si="32"/>
        <v>0</v>
      </c>
      <c r="I237" s="44">
        <f t="shared" ref="I237:I300" si="33">G237-H237</f>
        <v>0</v>
      </c>
      <c r="J237" s="330" t="str">
        <f t="shared" ref="J237:J300" si="34">IF(I237=0,"",I237/H237)</f>
        <v/>
      </c>
      <c r="K237" s="442">
        <f t="shared" si="32"/>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33"/>
        <v>0</v>
      </c>
      <c r="J238" s="330" t="str">
        <f t="shared" si="34"/>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33"/>
        <v>0</v>
      </c>
      <c r="J239" s="330" t="str">
        <f t="shared" si="34"/>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33"/>
        <v>0</v>
      </c>
      <c r="J240" s="330" t="str">
        <f t="shared" si="34"/>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33"/>
        <v>0</v>
      </c>
      <c r="J241" s="330" t="str">
        <f t="shared" si="34"/>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33"/>
        <v>0</v>
      </c>
      <c r="J242" s="330" t="str">
        <f t="shared" si="34"/>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33"/>
        <v>0</v>
      </c>
      <c r="J243" s="330" t="str">
        <f t="shared" si="34"/>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33"/>
        <v>0</v>
      </c>
      <c r="J244" s="330" t="str">
        <f t="shared" si="34"/>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33"/>
        <v>0</v>
      </c>
      <c r="J245" s="330" t="str">
        <f t="shared" si="34"/>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33"/>
        <v>0</v>
      </c>
      <c r="J246" s="330" t="str">
        <f t="shared" si="34"/>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33"/>
        <v>0</v>
      </c>
      <c r="J247" s="330" t="str">
        <f t="shared" si="34"/>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35">SUM(C249:C258)</f>
        <v>0</v>
      </c>
      <c r="D248" s="444">
        <f t="shared" si="35"/>
        <v>0</v>
      </c>
      <c r="E248" s="441">
        <f t="shared" si="35"/>
        <v>0</v>
      </c>
      <c r="F248" s="443">
        <f t="shared" si="35"/>
        <v>0</v>
      </c>
      <c r="G248" s="441">
        <f t="shared" si="35"/>
        <v>0</v>
      </c>
      <c r="H248" s="443">
        <f t="shared" si="35"/>
        <v>0</v>
      </c>
      <c r="I248" s="44">
        <f t="shared" si="33"/>
        <v>0</v>
      </c>
      <c r="J248" s="330" t="str">
        <f t="shared" si="34"/>
        <v/>
      </c>
      <c r="K248" s="442">
        <f t="shared" si="35"/>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33"/>
        <v>0</v>
      </c>
      <c r="J249" s="330" t="str">
        <f t="shared" si="34"/>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33"/>
        <v>0</v>
      </c>
      <c r="J250" s="330" t="str">
        <f t="shared" si="34"/>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33"/>
        <v>0</v>
      </c>
      <c r="J251" s="330" t="str">
        <f t="shared" si="34"/>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33"/>
        <v>0</v>
      </c>
      <c r="J252" s="330" t="str">
        <f t="shared" si="34"/>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33"/>
        <v>0</v>
      </c>
      <c r="J253" s="330" t="str">
        <f t="shared" si="34"/>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33"/>
        <v>0</v>
      </c>
      <c r="J254" s="330" t="str">
        <f t="shared" si="34"/>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33"/>
        <v>0</v>
      </c>
      <c r="J255" s="330" t="str">
        <f t="shared" si="34"/>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33"/>
        <v>0</v>
      </c>
      <c r="J256" s="330" t="str">
        <f t="shared" si="34"/>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33"/>
        <v>0</v>
      </c>
      <c r="J257" s="330" t="str">
        <f t="shared" si="34"/>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33"/>
        <v>0</v>
      </c>
      <c r="J258" s="330" t="str">
        <f t="shared" si="34"/>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36">SUM(C260:C269)</f>
        <v>0</v>
      </c>
      <c r="D259" s="444">
        <f t="shared" si="36"/>
        <v>0</v>
      </c>
      <c r="E259" s="441">
        <f t="shared" si="36"/>
        <v>0</v>
      </c>
      <c r="F259" s="443">
        <f t="shared" si="36"/>
        <v>0</v>
      </c>
      <c r="G259" s="441">
        <f t="shared" si="36"/>
        <v>0</v>
      </c>
      <c r="H259" s="443">
        <f t="shared" si="36"/>
        <v>0</v>
      </c>
      <c r="I259" s="44">
        <f t="shared" si="33"/>
        <v>0</v>
      </c>
      <c r="J259" s="330" t="str">
        <f t="shared" si="34"/>
        <v/>
      </c>
      <c r="K259" s="442">
        <f t="shared" si="36"/>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33"/>
        <v>0</v>
      </c>
      <c r="J260" s="330" t="str">
        <f t="shared" si="34"/>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33"/>
        <v>0</v>
      </c>
      <c r="J261" s="330" t="str">
        <f t="shared" si="34"/>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33"/>
        <v>0</v>
      </c>
      <c r="J262" s="330" t="str">
        <f t="shared" si="34"/>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33"/>
        <v>0</v>
      </c>
      <c r="J263" s="330" t="str">
        <f t="shared" si="34"/>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33"/>
        <v>0</v>
      </c>
      <c r="J264" s="330" t="str">
        <f t="shared" si="34"/>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33"/>
        <v>0</v>
      </c>
      <c r="J265" s="330" t="str">
        <f t="shared" si="34"/>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33"/>
        <v>0</v>
      </c>
      <c r="J266" s="330" t="str">
        <f t="shared" si="34"/>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33"/>
        <v>0</v>
      </c>
      <c r="J267" s="330" t="str">
        <f t="shared" si="34"/>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33"/>
        <v>0</v>
      </c>
      <c r="J268" s="330" t="str">
        <f t="shared" si="34"/>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33"/>
        <v>0</v>
      </c>
      <c r="J269" s="330" t="str">
        <f t="shared" si="34"/>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37">SUM(C271:C280)</f>
        <v>0</v>
      </c>
      <c r="D270" s="444">
        <f t="shared" si="37"/>
        <v>0</v>
      </c>
      <c r="E270" s="441">
        <f t="shared" si="37"/>
        <v>0</v>
      </c>
      <c r="F270" s="443">
        <f t="shared" si="37"/>
        <v>0</v>
      </c>
      <c r="G270" s="441">
        <f t="shared" si="37"/>
        <v>0</v>
      </c>
      <c r="H270" s="443">
        <f t="shared" si="37"/>
        <v>0</v>
      </c>
      <c r="I270" s="44">
        <f t="shared" si="33"/>
        <v>0</v>
      </c>
      <c r="J270" s="330" t="str">
        <f t="shared" si="34"/>
        <v/>
      </c>
      <c r="K270" s="442">
        <f t="shared" si="37"/>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33"/>
        <v>0</v>
      </c>
      <c r="J271" s="330" t="str">
        <f t="shared" si="34"/>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33"/>
        <v>0</v>
      </c>
      <c r="J272" s="330" t="str">
        <f t="shared" si="34"/>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33"/>
        <v>0</v>
      </c>
      <c r="J273" s="330" t="str">
        <f t="shared" si="34"/>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33"/>
        <v>0</v>
      </c>
      <c r="J274" s="330" t="str">
        <f t="shared" si="34"/>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33"/>
        <v>0</v>
      </c>
      <c r="J275" s="330" t="str">
        <f t="shared" si="34"/>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33"/>
        <v>0</v>
      </c>
      <c r="J276" s="330" t="str">
        <f t="shared" si="34"/>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33"/>
        <v>0</v>
      </c>
      <c r="J277" s="330" t="str">
        <f t="shared" si="34"/>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33"/>
        <v>0</v>
      </c>
      <c r="J278" s="330" t="str">
        <f t="shared" si="34"/>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33"/>
        <v>0</v>
      </c>
      <c r="J279" s="330" t="str">
        <f t="shared" si="34"/>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33"/>
        <v>0</v>
      </c>
      <c r="J280" s="330" t="str">
        <f t="shared" si="34"/>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38">SUM(C282:C291)</f>
        <v>0</v>
      </c>
      <c r="D281" s="444">
        <f t="shared" si="38"/>
        <v>0</v>
      </c>
      <c r="E281" s="441">
        <f t="shared" si="38"/>
        <v>0</v>
      </c>
      <c r="F281" s="443">
        <f t="shared" si="38"/>
        <v>0</v>
      </c>
      <c r="G281" s="441">
        <f t="shared" si="38"/>
        <v>0</v>
      </c>
      <c r="H281" s="443">
        <f t="shared" si="38"/>
        <v>0</v>
      </c>
      <c r="I281" s="44">
        <f t="shared" si="33"/>
        <v>0</v>
      </c>
      <c r="J281" s="330" t="str">
        <f t="shared" si="34"/>
        <v/>
      </c>
      <c r="K281" s="442">
        <f t="shared" si="38"/>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33"/>
        <v>0</v>
      </c>
      <c r="J282" s="330" t="str">
        <f t="shared" si="34"/>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33"/>
        <v>0</v>
      </c>
      <c r="J283" s="330" t="str">
        <f t="shared" si="34"/>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33"/>
        <v>0</v>
      </c>
      <c r="J284" s="330" t="str">
        <f t="shared" si="34"/>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33"/>
        <v>0</v>
      </c>
      <c r="J285" s="330" t="str">
        <f t="shared" si="34"/>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33"/>
        <v>0</v>
      </c>
      <c r="J286" s="330" t="str">
        <f t="shared" si="34"/>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33"/>
        <v>0</v>
      </c>
      <c r="J287" s="330" t="str">
        <f t="shared" si="34"/>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33"/>
        <v>0</v>
      </c>
      <c r="J288" s="330" t="str">
        <f t="shared" si="34"/>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33"/>
        <v>0</v>
      </c>
      <c r="J289" s="330" t="str">
        <f t="shared" si="34"/>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33"/>
        <v>0</v>
      </c>
      <c r="J290" s="330" t="str">
        <f t="shared" si="34"/>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33"/>
        <v>0</v>
      </c>
      <c r="J291" s="330" t="str">
        <f t="shared" si="34"/>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39">SUM(C293:C302)</f>
        <v>0</v>
      </c>
      <c r="D292" s="444">
        <f t="shared" si="39"/>
        <v>0</v>
      </c>
      <c r="E292" s="441">
        <f t="shared" si="39"/>
        <v>0</v>
      </c>
      <c r="F292" s="443">
        <f t="shared" si="39"/>
        <v>0</v>
      </c>
      <c r="G292" s="441">
        <f t="shared" si="39"/>
        <v>0</v>
      </c>
      <c r="H292" s="443">
        <f t="shared" si="39"/>
        <v>0</v>
      </c>
      <c r="I292" s="44">
        <f t="shared" si="33"/>
        <v>0</v>
      </c>
      <c r="J292" s="330" t="str">
        <f t="shared" si="34"/>
        <v/>
      </c>
      <c r="K292" s="442">
        <f t="shared" si="39"/>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33"/>
        <v>0</v>
      </c>
      <c r="J293" s="330" t="str">
        <f t="shared" si="34"/>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33"/>
        <v>0</v>
      </c>
      <c r="J294" s="330" t="str">
        <f t="shared" si="34"/>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33"/>
        <v>0</v>
      </c>
      <c r="J295" s="330" t="str">
        <f t="shared" si="34"/>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33"/>
        <v>0</v>
      </c>
      <c r="J296" s="330" t="str">
        <f t="shared" si="34"/>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33"/>
        <v>0</v>
      </c>
      <c r="J297" s="330" t="str">
        <f t="shared" si="34"/>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33"/>
        <v>0</v>
      </c>
      <c r="J298" s="330" t="str">
        <f t="shared" si="34"/>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33"/>
        <v>0</v>
      </c>
      <c r="J299" s="330" t="str">
        <f t="shared" si="34"/>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33"/>
        <v>0</v>
      </c>
      <c r="J300" s="330" t="str">
        <f t="shared" si="34"/>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40">G301-H301</f>
        <v>0</v>
      </c>
      <c r="J301" s="330" t="str">
        <f t="shared" ref="J301:J316" si="41">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40"/>
        <v>0</v>
      </c>
      <c r="J302" s="330" t="str">
        <f t="shared" si="41"/>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42">SUM(C304:C313)</f>
        <v>0</v>
      </c>
      <c r="D303" s="444">
        <f t="shared" si="42"/>
        <v>0</v>
      </c>
      <c r="E303" s="441">
        <f t="shared" si="42"/>
        <v>0</v>
      </c>
      <c r="F303" s="443">
        <f t="shared" si="42"/>
        <v>0</v>
      </c>
      <c r="G303" s="441">
        <f t="shared" si="42"/>
        <v>0</v>
      </c>
      <c r="H303" s="443">
        <f t="shared" si="42"/>
        <v>0</v>
      </c>
      <c r="I303" s="44">
        <f t="shared" si="40"/>
        <v>0</v>
      </c>
      <c r="J303" s="330" t="str">
        <f t="shared" si="41"/>
        <v/>
      </c>
      <c r="K303" s="442">
        <f t="shared" si="42"/>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40"/>
        <v>0</v>
      </c>
      <c r="J304" s="330" t="str">
        <f t="shared" si="41"/>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40"/>
        <v>0</v>
      </c>
      <c r="J305" s="330" t="str">
        <f t="shared" si="41"/>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40"/>
        <v>0</v>
      </c>
      <c r="J306" s="330" t="str">
        <f t="shared" si="41"/>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40"/>
        <v>0</v>
      </c>
      <c r="J307" s="330" t="str">
        <f t="shared" si="41"/>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40"/>
        <v>0</v>
      </c>
      <c r="J308" s="330" t="str">
        <f t="shared" si="41"/>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40"/>
        <v>0</v>
      </c>
      <c r="J309" s="330" t="str">
        <f t="shared" si="41"/>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40"/>
        <v>0</v>
      </c>
      <c r="J310" s="330" t="str">
        <f t="shared" si="41"/>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40"/>
        <v>0</v>
      </c>
      <c r="J311" s="330" t="str">
        <f t="shared" si="41"/>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40"/>
        <v>0</v>
      </c>
      <c r="J312" s="330" t="str">
        <f t="shared" si="41"/>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40"/>
        <v>0</v>
      </c>
      <c r="J313" s="330" t="str">
        <f t="shared" si="41"/>
        <v/>
      </c>
      <c r="K313" s="395"/>
      <c r="L313" s="452">
        <f t="shared" ref="L313:W313" si="43">SUM(L148:L224)</f>
        <v>0</v>
      </c>
      <c r="M313" s="453">
        <f t="shared" si="43"/>
        <v>0</v>
      </c>
      <c r="N313" s="453">
        <f t="shared" si="43"/>
        <v>0</v>
      </c>
      <c r="O313" s="453">
        <f t="shared" si="43"/>
        <v>0</v>
      </c>
      <c r="P313" s="453">
        <f t="shared" si="43"/>
        <v>0</v>
      </c>
      <c r="Q313" s="453">
        <f t="shared" si="43"/>
        <v>0</v>
      </c>
      <c r="R313" s="453">
        <f t="shared" si="43"/>
        <v>0</v>
      </c>
      <c r="S313" s="453">
        <f t="shared" si="43"/>
        <v>0</v>
      </c>
      <c r="T313" s="453">
        <f t="shared" si="43"/>
        <v>0</v>
      </c>
      <c r="U313" s="453">
        <f t="shared" si="43"/>
        <v>0</v>
      </c>
      <c r="V313" s="453">
        <f t="shared" si="43"/>
        <v>0</v>
      </c>
      <c r="W313" s="453">
        <f t="shared" si="43"/>
        <v>0</v>
      </c>
    </row>
    <row r="314" spans="1:23" ht="12.75" customHeight="1" x14ac:dyDescent="0.25">
      <c r="A314" s="711" t="s">
        <v>799</v>
      </c>
      <c r="B314" s="712"/>
      <c r="C314" s="508">
        <f>C149+C160+C171+C182+C193+C204+C215+C226+C237+C259+C270+C281+C292+C303+C248</f>
        <v>0</v>
      </c>
      <c r="D314" s="475">
        <f t="shared" ref="D314:K314" si="44">D149+D160+D171+D182+D193+D204+D215+D226+D237+D259+D270+D281+D292+D303+D248</f>
        <v>71724000</v>
      </c>
      <c r="E314" s="430">
        <f t="shared" si="44"/>
        <v>112824000</v>
      </c>
      <c r="F314" s="474">
        <f t="shared" si="44"/>
        <v>17396183.639999997</v>
      </c>
      <c r="G314" s="430">
        <f t="shared" si="44"/>
        <v>72616095.170000017</v>
      </c>
      <c r="H314" s="474">
        <f t="shared" si="44"/>
        <v>47010000</v>
      </c>
      <c r="I314" s="430">
        <f t="shared" si="40"/>
        <v>25606095.170000017</v>
      </c>
      <c r="J314" s="430">
        <f t="shared" si="41"/>
        <v>0.54469464305466953</v>
      </c>
      <c r="K314" s="513">
        <f t="shared" si="44"/>
        <v>112824000</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40"/>
        <v>0</v>
      </c>
      <c r="J315" s="50" t="str">
        <f t="shared" si="41"/>
        <v/>
      </c>
      <c r="K315" s="194"/>
      <c r="L315" s="480">
        <f t="shared" ref="L315:W315" si="45">L144-L313</f>
        <v>0</v>
      </c>
      <c r="M315" s="481">
        <f t="shared" si="45"/>
        <v>0</v>
      </c>
      <c r="N315" s="481">
        <f t="shared" si="45"/>
        <v>0</v>
      </c>
      <c r="O315" s="481">
        <f t="shared" si="45"/>
        <v>0</v>
      </c>
      <c r="P315" s="481">
        <f t="shared" si="45"/>
        <v>0</v>
      </c>
      <c r="Q315" s="481">
        <f t="shared" si="45"/>
        <v>0</v>
      </c>
      <c r="R315" s="481">
        <f t="shared" si="45"/>
        <v>0</v>
      </c>
      <c r="S315" s="481">
        <f t="shared" si="45"/>
        <v>0</v>
      </c>
      <c r="T315" s="481">
        <f t="shared" si="45"/>
        <v>0</v>
      </c>
      <c r="U315" s="481">
        <f t="shared" si="45"/>
        <v>0</v>
      </c>
      <c r="V315" s="481">
        <f t="shared" si="45"/>
        <v>0</v>
      </c>
      <c r="W315" s="481">
        <f t="shared" si="45"/>
        <v>0</v>
      </c>
    </row>
    <row r="316" spans="1:23" s="486" customFormat="1" ht="13.5" customHeight="1" thickTop="1" x14ac:dyDescent="0.25">
      <c r="A316" s="53" t="s">
        <v>761</v>
      </c>
      <c r="B316" s="477"/>
      <c r="C316" s="509">
        <f>C145+C314</f>
        <v>0</v>
      </c>
      <c r="D316" s="512">
        <f t="shared" ref="D316:K316" si="46">D145+D314</f>
        <v>580891581</v>
      </c>
      <c r="E316" s="55">
        <f t="shared" si="46"/>
        <v>621991581</v>
      </c>
      <c r="F316" s="479">
        <f t="shared" si="46"/>
        <v>64917006.569999993</v>
      </c>
      <c r="G316" s="55">
        <f t="shared" si="46"/>
        <v>180489659.47000003</v>
      </c>
      <c r="H316" s="479">
        <f t="shared" si="46"/>
        <v>259163158.75</v>
      </c>
      <c r="I316" s="55">
        <f t="shared" si="40"/>
        <v>-78673499.279999971</v>
      </c>
      <c r="J316" s="55">
        <f t="shared" si="41"/>
        <v>-0.30356745017100151</v>
      </c>
      <c r="K316" s="235">
        <f t="shared" si="46"/>
        <v>621991581</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14" activePane="bottomRight" state="frozen"/>
      <selection pane="topRight"/>
      <selection pane="bottomLeft"/>
      <selection pane="bottomRight" activeCell="F46" sqref="F46:F47"/>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58" t="str">
        <f>muni&amp; " - "&amp;S71E&amp; " - "&amp;date</f>
        <v>KZN225 Msunduzi - Table C6 Monthly Budget Statement - Financial Position - M05 November</v>
      </c>
      <c r="B1" s="1058"/>
      <c r="C1" s="1058"/>
      <c r="D1" s="1058"/>
      <c r="E1" s="1058"/>
      <c r="F1" s="1058"/>
      <c r="G1" s="1058"/>
    </row>
    <row r="2" spans="1:8" x14ac:dyDescent="0.25">
      <c r="A2" s="1043" t="str">
        <f>desc</f>
        <v>Description</v>
      </c>
      <c r="B2" s="1036" t="str">
        <f>head27</f>
        <v>Ref</v>
      </c>
      <c r="C2" s="140" t="str">
        <f>Head1</f>
        <v>2019/20</v>
      </c>
      <c r="D2" s="245" t="str">
        <f>Head2</f>
        <v>Budget Year 2020/21</v>
      </c>
      <c r="E2" s="229"/>
      <c r="F2" s="229"/>
      <c r="G2" s="230"/>
    </row>
    <row r="3" spans="1:8" ht="25.5" x14ac:dyDescent="0.25">
      <c r="A3" s="1044"/>
      <c r="B3" s="1047"/>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587058869.06572831</v>
      </c>
      <c r="F7" s="733">
        <v>173475276.17000005</v>
      </c>
      <c r="G7" s="735">
        <f>E7</f>
        <v>587058869.06572831</v>
      </c>
    </row>
    <row r="8" spans="1:8" ht="12.75" customHeight="1" x14ac:dyDescent="0.25">
      <c r="A8" s="39" t="s">
        <v>590</v>
      </c>
      <c r="B8" s="169"/>
      <c r="C8" s="748"/>
      <c r="D8" s="753">
        <v>16771734.260000002</v>
      </c>
      <c r="E8" s="733">
        <v>16771734.260000199</v>
      </c>
      <c r="F8" s="733">
        <v>139532503.79000008</v>
      </c>
      <c r="G8" s="735">
        <f>E8</f>
        <v>16771734.260000199</v>
      </c>
    </row>
    <row r="9" spans="1:8" ht="12.75" customHeight="1" x14ac:dyDescent="0.25">
      <c r="A9" s="39" t="s">
        <v>588</v>
      </c>
      <c r="B9" s="169"/>
      <c r="C9" s="748"/>
      <c r="D9" s="753">
        <v>2485904793.8587079</v>
      </c>
      <c r="E9" s="733">
        <v>2165986452.883708</v>
      </c>
      <c r="F9" s="733">
        <v>2264823439.8599997</v>
      </c>
      <c r="G9" s="735">
        <f>E9</f>
        <v>2165986452.883708</v>
      </c>
    </row>
    <row r="10" spans="1:8" ht="12.75" customHeight="1" x14ac:dyDescent="0.25">
      <c r="A10" s="39" t="s">
        <v>589</v>
      </c>
      <c r="B10" s="169"/>
      <c r="C10" s="748"/>
      <c r="D10" s="753">
        <v>67823549.673443094</v>
      </c>
      <c r="E10" s="733">
        <v>67823549.673443094</v>
      </c>
      <c r="F10" s="733">
        <v>2598220.079999994</v>
      </c>
      <c r="G10" s="735">
        <f>E10</f>
        <v>67823549.673443094</v>
      </c>
    </row>
    <row r="11" spans="1:8" ht="12.75" customHeight="1" x14ac:dyDescent="0.25">
      <c r="A11" s="39" t="s">
        <v>786</v>
      </c>
      <c r="B11" s="169"/>
      <c r="C11" s="748"/>
      <c r="D11" s="753"/>
      <c r="E11" s="733"/>
      <c r="F11" s="733"/>
      <c r="G11" s="735"/>
    </row>
    <row r="12" spans="1:8" ht="12.75" customHeight="1" x14ac:dyDescent="0.25">
      <c r="A12" s="39" t="s">
        <v>587</v>
      </c>
      <c r="B12" s="169"/>
      <c r="C12" s="748"/>
      <c r="D12" s="753">
        <v>36180571.679769903</v>
      </c>
      <c r="E12" s="733">
        <v>36180571.679769903</v>
      </c>
      <c r="F12" s="733">
        <v>583371718.08000004</v>
      </c>
      <c r="G12" s="735">
        <f>E12</f>
        <v>36180571.679769903</v>
      </c>
    </row>
    <row r="13" spans="1:8" ht="12.75" customHeight="1" x14ac:dyDescent="0.25">
      <c r="A13" s="92" t="s">
        <v>632</v>
      </c>
      <c r="B13" s="233"/>
      <c r="C13" s="243">
        <f>SUM(C7:C12)</f>
        <v>0</v>
      </c>
      <c r="D13" s="260">
        <f>SUM(D7:D12)</f>
        <v>2972344764.6444831</v>
      </c>
      <c r="E13" s="73">
        <f>SUM(E7:E12)</f>
        <v>2873821177.5626497</v>
      </c>
      <c r="F13" s="73">
        <f>SUM(F7:F12)</f>
        <v>3163801157.9799995</v>
      </c>
      <c r="G13" s="145">
        <f>SUM(G7:G12)</f>
        <v>2873821177.5626497</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375005.99000000022</v>
      </c>
      <c r="G16" s="735"/>
      <c r="H16" s="39"/>
    </row>
    <row r="17" spans="1:8" ht="12.75" customHeight="1" x14ac:dyDescent="0.25">
      <c r="A17" s="39" t="s">
        <v>544</v>
      </c>
      <c r="B17" s="169"/>
      <c r="C17" s="748"/>
      <c r="D17" s="753">
        <v>2969671.4292000006</v>
      </c>
      <c r="E17" s="733"/>
      <c r="F17" s="733"/>
      <c r="G17" s="735"/>
      <c r="H17" s="39"/>
    </row>
    <row r="18" spans="1:8" ht="12.75" customHeight="1" x14ac:dyDescent="0.25">
      <c r="A18" s="39" t="s">
        <v>585</v>
      </c>
      <c r="B18" s="169"/>
      <c r="C18" s="748"/>
      <c r="D18" s="753">
        <v>782332533.60000002</v>
      </c>
      <c r="E18" s="733">
        <v>2969671.4292000006</v>
      </c>
      <c r="F18" s="733">
        <v>707626999.95000005</v>
      </c>
      <c r="G18" s="735">
        <f>E18</f>
        <v>2969671.4292000006</v>
      </c>
      <c r="H18" s="39"/>
    </row>
    <row r="19" spans="1:8" ht="12.75" customHeight="1" x14ac:dyDescent="0.25">
      <c r="A19" s="39" t="s">
        <v>278</v>
      </c>
      <c r="B19" s="169"/>
      <c r="C19" s="748"/>
      <c r="D19" s="753"/>
      <c r="E19" s="733">
        <v>782332533.60000002</v>
      </c>
      <c r="F19" s="733"/>
      <c r="G19" s="735">
        <f>E19</f>
        <v>782332533.60000002</v>
      </c>
      <c r="H19" s="39"/>
    </row>
    <row r="20" spans="1:8" ht="12.75" customHeight="1" x14ac:dyDescent="0.25">
      <c r="A20" s="39" t="s">
        <v>584</v>
      </c>
      <c r="B20" s="169"/>
      <c r="C20" s="748"/>
      <c r="D20" s="753">
        <v>7111997635.7252645</v>
      </c>
      <c r="E20" s="733">
        <v>7160597635.4495039</v>
      </c>
      <c r="F20" s="733">
        <v>6794956712.5800009</v>
      </c>
      <c r="G20" s="735">
        <f>E20</f>
        <v>7160597635.4495039</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E22</f>
        <v>1065650.33</v>
      </c>
      <c r="H22" s="39"/>
    </row>
    <row r="23" spans="1:8" ht="12.75" customHeight="1" x14ac:dyDescent="0.25">
      <c r="A23" s="39" t="s">
        <v>1334</v>
      </c>
      <c r="B23" s="169"/>
      <c r="C23" s="748"/>
      <c r="D23" s="753">
        <v>46132727.226800002</v>
      </c>
      <c r="E23" s="733">
        <v>46132727.226800002</v>
      </c>
      <c r="F23" s="733">
        <v>26309984.49000001</v>
      </c>
      <c r="G23" s="735">
        <f>E23</f>
        <v>46132727.226800002</v>
      </c>
      <c r="H23" s="39"/>
    </row>
    <row r="24" spans="1:8" ht="12.75" customHeight="1" x14ac:dyDescent="0.25">
      <c r="A24" s="39" t="s">
        <v>795</v>
      </c>
      <c r="B24" s="169"/>
      <c r="C24" s="748"/>
      <c r="D24" s="753">
        <v>395927434.26520002</v>
      </c>
      <c r="E24" s="733">
        <v>395927434.26520002</v>
      </c>
      <c r="F24" s="733">
        <v>83200000</v>
      </c>
      <c r="G24" s="735">
        <f>E24</f>
        <v>395927434.26520002</v>
      </c>
      <c r="H24" s="39"/>
    </row>
    <row r="25" spans="1:8" ht="12.75" customHeight="1" x14ac:dyDescent="0.25">
      <c r="A25" s="92" t="s">
        <v>631</v>
      </c>
      <c r="B25" s="233"/>
      <c r="C25" s="243">
        <f>SUM(C16:C20)+SUM(C22:C24)</f>
        <v>0</v>
      </c>
      <c r="D25" s="260">
        <f>SUM(D16:D20)+SUM(D22:D24)</f>
        <v>8340425652.5764656</v>
      </c>
      <c r="E25" s="73">
        <f>SUM(E16:E20)+SUM(E22:E24)</f>
        <v>8389025652.300705</v>
      </c>
      <c r="F25" s="73">
        <f>SUM(F16:F20)+SUM(F22:F24)</f>
        <v>7613538953.0100002</v>
      </c>
      <c r="G25" s="145">
        <f>SUM(G16:G20)+SUM(G22:G24)</f>
        <v>8389025652.300705</v>
      </c>
      <c r="H25" s="39"/>
    </row>
    <row r="26" spans="1:8" ht="12.75" customHeight="1" x14ac:dyDescent="0.25">
      <c r="A26" s="92" t="s">
        <v>778</v>
      </c>
      <c r="B26" s="233"/>
      <c r="C26" s="243">
        <f>C13+C25</f>
        <v>0</v>
      </c>
      <c r="D26" s="260">
        <f>D13+D25</f>
        <v>11312770417.220949</v>
      </c>
      <c r="E26" s="73">
        <f>E13+E25</f>
        <v>11262846829.863354</v>
      </c>
      <c r="F26" s="73">
        <f>F13+F25</f>
        <v>10777340110.99</v>
      </c>
      <c r="G26" s="145">
        <f>G13+G25</f>
        <v>11262846829.863354</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61406754.710000001</v>
      </c>
      <c r="G31" s="735">
        <f>E31</f>
        <v>85380595.876948789</v>
      </c>
    </row>
    <row r="32" spans="1:8" ht="12.75" customHeight="1" x14ac:dyDescent="0.25">
      <c r="A32" s="39" t="s">
        <v>583</v>
      </c>
      <c r="B32" s="169"/>
      <c r="C32" s="748"/>
      <c r="D32" s="753">
        <v>114344430.65218705</v>
      </c>
      <c r="E32" s="733">
        <v>114344430.65218705</v>
      </c>
      <c r="F32" s="733">
        <v>122558182.91</v>
      </c>
      <c r="G32" s="735">
        <f>E32</f>
        <v>114344430.65218705</v>
      </c>
    </row>
    <row r="33" spans="1:7" ht="12.75" customHeight="1" x14ac:dyDescent="0.25">
      <c r="A33" s="39" t="s">
        <v>787</v>
      </c>
      <c r="B33" s="169"/>
      <c r="C33" s="748"/>
      <c r="D33" s="753">
        <v>1101595513.0999999</v>
      </c>
      <c r="E33" s="733">
        <v>1005724626.0998489</v>
      </c>
      <c r="F33" s="733">
        <v>1353332793.5899999</v>
      </c>
      <c r="G33" s="735">
        <f>E33</f>
        <v>1005724626.0998489</v>
      </c>
    </row>
    <row r="34" spans="1:7" ht="12.75" customHeight="1" x14ac:dyDescent="0.25">
      <c r="A34" s="39" t="s">
        <v>546</v>
      </c>
      <c r="B34" s="169"/>
      <c r="C34" s="748"/>
      <c r="D34" s="753">
        <v>140397811.785</v>
      </c>
      <c r="E34" s="733">
        <v>140397811.785</v>
      </c>
      <c r="F34" s="733">
        <v>176726638.36000001</v>
      </c>
      <c r="G34" s="735">
        <f>E34</f>
        <v>140397811.785</v>
      </c>
    </row>
    <row r="35" spans="1:7" ht="12.75" customHeight="1" x14ac:dyDescent="0.25">
      <c r="A35" s="92" t="s">
        <v>459</v>
      </c>
      <c r="B35" s="233"/>
      <c r="C35" s="243">
        <f>SUM(C30:C34)</f>
        <v>0</v>
      </c>
      <c r="D35" s="260">
        <f>SUM(D30:D34)</f>
        <v>1441718351.4141357</v>
      </c>
      <c r="E35" s="73">
        <f>SUM(E30:E34)</f>
        <v>1345847464.4139848</v>
      </c>
      <c r="F35" s="73">
        <f>SUM(F30:F34)</f>
        <v>1714024369.5700002</v>
      </c>
      <c r="G35" s="145">
        <f>SUM(G30:G34)</f>
        <v>1345847464.4139848</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E38</f>
        <v>282085537</v>
      </c>
    </row>
    <row r="39" spans="1:7" ht="12.75" customHeight="1" x14ac:dyDescent="0.25">
      <c r="A39" s="39" t="s">
        <v>546</v>
      </c>
      <c r="B39" s="169"/>
      <c r="C39" s="748"/>
      <c r="D39" s="753">
        <v>809779414.93056619</v>
      </c>
      <c r="E39" s="733">
        <v>809779414.93056619</v>
      </c>
      <c r="F39" s="733">
        <v>534772329.63999999</v>
      </c>
      <c r="G39" s="735">
        <f>E39</f>
        <v>809779414.93056619</v>
      </c>
    </row>
    <row r="40" spans="1:7" ht="12.75" customHeight="1" x14ac:dyDescent="0.25">
      <c r="A40" s="92" t="s">
        <v>458</v>
      </c>
      <c r="B40" s="233"/>
      <c r="C40" s="243">
        <f>SUM(C38:C39)</f>
        <v>0</v>
      </c>
      <c r="D40" s="260">
        <f>SUM(D38:D39)</f>
        <v>1091864951.9305663</v>
      </c>
      <c r="E40" s="73">
        <f>SUM(E38:E39)</f>
        <v>1091864951.9305663</v>
      </c>
      <c r="F40" s="73">
        <f>SUM(F38:F39)</f>
        <v>820090325.28999996</v>
      </c>
      <c r="G40" s="145">
        <f>SUM(G38:G39)</f>
        <v>1091864951.9305663</v>
      </c>
    </row>
    <row r="41" spans="1:7" ht="12.75" customHeight="1" x14ac:dyDescent="0.25">
      <c r="A41" s="92" t="s">
        <v>1</v>
      </c>
      <c r="B41" s="233"/>
      <c r="C41" s="243">
        <f>C35+C40</f>
        <v>0</v>
      </c>
      <c r="D41" s="260">
        <f>D35+D40</f>
        <v>2533583303.3447018</v>
      </c>
      <c r="E41" s="73">
        <f>E35+E40</f>
        <v>2437712416.3445511</v>
      </c>
      <c r="F41" s="73">
        <f>F35+F40</f>
        <v>2534114694.8600001</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8825134413.5188026</v>
      </c>
      <c r="F43" s="76">
        <f>F26-F41</f>
        <v>8243225416.1299992</v>
      </c>
      <c r="G43" s="234">
        <f>G26-G41</f>
        <v>8825134413.5188026</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8596221155.1900883</v>
      </c>
      <c r="F46" s="733">
        <v>8053054977.0699997</v>
      </c>
      <c r="G46" s="735">
        <f>E46</f>
        <v>8596221155.1900883</v>
      </c>
    </row>
    <row r="47" spans="1:7" ht="12.75" customHeight="1" x14ac:dyDescent="0.25">
      <c r="A47" s="39" t="s">
        <v>902</v>
      </c>
      <c r="B47" s="169"/>
      <c r="C47" s="748"/>
      <c r="D47" s="753">
        <v>228913258</v>
      </c>
      <c r="E47" s="733">
        <v>228913258.32871437</v>
      </c>
      <c r="F47" s="733">
        <v>190170439.06</v>
      </c>
      <c r="G47" s="735">
        <f>E47</f>
        <v>228913258.32871437</v>
      </c>
    </row>
    <row r="48" spans="1:7" ht="12.75" customHeight="1" x14ac:dyDescent="0.25">
      <c r="A48" s="53" t="s">
        <v>626</v>
      </c>
      <c r="B48" s="236">
        <v>2</v>
      </c>
      <c r="C48" s="112">
        <f>SUM(C46:C47)</f>
        <v>0</v>
      </c>
      <c r="D48" s="271">
        <f>SUM(D46:D47)</f>
        <v>8779187113.8762474</v>
      </c>
      <c r="E48" s="55">
        <f>SUM(E46:E47)</f>
        <v>8825134413.5188026</v>
      </c>
      <c r="F48" s="55">
        <f>SUM(F46:F47)</f>
        <v>8243225416.1300001</v>
      </c>
      <c r="G48" s="235">
        <f>SUM(G46:G47)</f>
        <v>8825134413.5188026</v>
      </c>
    </row>
    <row r="49" spans="1:7" ht="12.75" customHeight="1" x14ac:dyDescent="0.25">
      <c r="A49" s="78" t="str">
        <f>head27a</f>
        <v>References</v>
      </c>
      <c r="B49" s="58"/>
      <c r="C49" s="49"/>
      <c r="D49" s="49"/>
      <c r="E49" s="49"/>
      <c r="F49" s="49"/>
      <c r="G49" s="49"/>
    </row>
    <row r="50" spans="1:7" ht="13.5" customHeight="1" x14ac:dyDescent="0.25">
      <c r="A50" s="1057" t="s">
        <v>145</v>
      </c>
      <c r="B50" s="1057"/>
      <c r="C50" s="1057"/>
      <c r="D50" s="1057"/>
      <c r="E50" s="1057"/>
      <c r="F50" s="1057"/>
      <c r="G50" s="1057"/>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M12" sqref="M12"/>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"&amp;S71F&amp; " - "&amp;date</f>
        <v>KZN225 Msunduzi - Table C7 Monthly Budget Statement - Cash Flow  - M05 November</v>
      </c>
      <c r="B1" s="1054"/>
      <c r="C1" s="1054"/>
      <c r="D1" s="1054"/>
      <c r="E1" s="1054"/>
      <c r="F1" s="1054"/>
      <c r="G1" s="1054"/>
      <c r="H1" s="1054"/>
      <c r="I1" s="1054"/>
      <c r="J1" s="1054"/>
      <c r="K1" s="1054"/>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1079325404.9185297</v>
      </c>
      <c r="F7" s="733"/>
      <c r="G7" s="733"/>
      <c r="H7" s="733">
        <f t="shared" ref="H7:H12" si="0">E7/12*5</f>
        <v>449718918.71605402</v>
      </c>
      <c r="I7" s="44">
        <f t="shared" ref="I7:I13" si="1">G7-H7</f>
        <v>-449718918.71605402</v>
      </c>
      <c r="J7" s="330">
        <f>IF(I7=0,"",I7/H7)</f>
        <v>-1</v>
      </c>
      <c r="K7" s="735">
        <f t="shared" ref="K7:K12" si="2">E7</f>
        <v>1079325404.9185297</v>
      </c>
    </row>
    <row r="8" spans="1:11" ht="12.75" customHeight="1" x14ac:dyDescent="0.25">
      <c r="A8" s="518" t="s">
        <v>962</v>
      </c>
      <c r="B8" s="169"/>
      <c r="C8" s="748"/>
      <c r="D8" s="745">
        <v>3039399061.9489746</v>
      </c>
      <c r="E8" s="733">
        <v>3039399061.9489746</v>
      </c>
      <c r="F8" s="733"/>
      <c r="G8" s="733"/>
      <c r="H8" s="733">
        <f t="shared" si="0"/>
        <v>1266416275.8120728</v>
      </c>
      <c r="I8" s="44">
        <f t="shared" si="1"/>
        <v>-1266416275.8120728</v>
      </c>
      <c r="J8" s="330">
        <f>IF(I8=0,"",I8/H8)</f>
        <v>-1</v>
      </c>
      <c r="K8" s="735">
        <f t="shared" si="2"/>
        <v>3039399061.9489746</v>
      </c>
    </row>
    <row r="9" spans="1:11" ht="12.75" customHeight="1" x14ac:dyDescent="0.25">
      <c r="A9" s="518" t="s">
        <v>453</v>
      </c>
      <c r="B9" s="169"/>
      <c r="C9" s="748"/>
      <c r="D9" s="745">
        <v>152193014.45782498</v>
      </c>
      <c r="E9" s="733">
        <v>152193014.45782498</v>
      </c>
      <c r="F9" s="733"/>
      <c r="G9" s="733"/>
      <c r="H9" s="733">
        <f t="shared" si="0"/>
        <v>63413756.02409374</v>
      </c>
      <c r="I9" s="44">
        <f t="shared" si="1"/>
        <v>-63413756.02409374</v>
      </c>
      <c r="J9" s="330">
        <f>IF(I9=0,"",I9/H9)</f>
        <v>-1</v>
      </c>
      <c r="K9" s="735">
        <f t="shared" si="2"/>
        <v>152193014.45782498</v>
      </c>
    </row>
    <row r="10" spans="1:11" ht="12.75" customHeight="1" x14ac:dyDescent="0.25">
      <c r="A10" s="992" t="s">
        <v>1372</v>
      </c>
      <c r="B10" s="171"/>
      <c r="C10" s="748"/>
      <c r="D10" s="745">
        <v>675483240</v>
      </c>
      <c r="E10" s="733">
        <v>764481240</v>
      </c>
      <c r="F10" s="733"/>
      <c r="G10" s="733"/>
      <c r="H10" s="733">
        <f t="shared" si="0"/>
        <v>318533850</v>
      </c>
      <c r="I10" s="44">
        <f t="shared" si="1"/>
        <v>-318533850</v>
      </c>
      <c r="J10" s="330">
        <f>IF(I10=0,"",I10/H10)</f>
        <v>-1</v>
      </c>
      <c r="K10" s="735">
        <f t="shared" si="2"/>
        <v>764481240</v>
      </c>
    </row>
    <row r="11" spans="1:11" ht="12.75" customHeight="1" x14ac:dyDescent="0.25">
      <c r="A11" s="992" t="s">
        <v>1373</v>
      </c>
      <c r="B11" s="171"/>
      <c r="C11" s="748"/>
      <c r="D11" s="745">
        <v>525891580.99999982</v>
      </c>
      <c r="E11" s="733">
        <v>525891580.99999982</v>
      </c>
      <c r="F11" s="733"/>
      <c r="G11" s="733"/>
      <c r="H11" s="733">
        <f t="shared" si="0"/>
        <v>219121492.08333325</v>
      </c>
      <c r="I11" s="44">
        <f t="shared" si="1"/>
        <v>-219121492.08333325</v>
      </c>
      <c r="J11" s="330">
        <f t="shared" ref="J11:J18" si="3">IF(I11=0,"",I11/H11)</f>
        <v>-1</v>
      </c>
      <c r="K11" s="735">
        <f t="shared" si="2"/>
        <v>525891580.99999982</v>
      </c>
    </row>
    <row r="12" spans="1:11" ht="12.75" customHeight="1" x14ac:dyDescent="0.25">
      <c r="A12" s="86" t="s">
        <v>886</v>
      </c>
      <c r="B12" s="171"/>
      <c r="C12" s="748"/>
      <c r="D12" s="745">
        <v>185060483.86592242</v>
      </c>
      <c r="E12" s="733">
        <v>185060483.86592242</v>
      </c>
      <c r="F12" s="733"/>
      <c r="G12" s="733"/>
      <c r="H12" s="733">
        <f t="shared" si="0"/>
        <v>77108534.94413434</v>
      </c>
      <c r="I12" s="44">
        <f t="shared" si="1"/>
        <v>-77108534.94413434</v>
      </c>
      <c r="J12" s="330">
        <f t="shared" si="3"/>
        <v>-1</v>
      </c>
      <c r="K12" s="735">
        <f t="shared" si="2"/>
        <v>185060483.86592242</v>
      </c>
    </row>
    <row r="13" spans="1:11" ht="12.75" customHeight="1" x14ac:dyDescent="0.25">
      <c r="A13" s="86" t="s">
        <v>666</v>
      </c>
      <c r="B13" s="171"/>
      <c r="C13" s="748"/>
      <c r="D13" s="745"/>
      <c r="E13" s="733">
        <v>0</v>
      </c>
      <c r="F13" s="733"/>
      <c r="G13" s="733"/>
      <c r="H13" s="733"/>
      <c r="I13" s="44">
        <f t="shared" si="1"/>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-4863745945.6455221</v>
      </c>
      <c r="F15" s="733"/>
      <c r="G15" s="733"/>
      <c r="H15" s="733">
        <f>E15/12*5</f>
        <v>-2026560810.6856344</v>
      </c>
      <c r="I15" s="44">
        <f>H15-G15</f>
        <v>-2026560810.6856344</v>
      </c>
      <c r="J15" s="330">
        <f t="shared" si="3"/>
        <v>1</v>
      </c>
      <c r="K15" s="735">
        <f>E15</f>
        <v>-4863745945.6455221</v>
      </c>
    </row>
    <row r="16" spans="1:11" ht="12.75" customHeight="1" x14ac:dyDescent="0.25">
      <c r="A16" s="86" t="s">
        <v>452</v>
      </c>
      <c r="B16" s="171"/>
      <c r="C16" s="748"/>
      <c r="D16" s="745">
        <v>-31793212.220000003</v>
      </c>
      <c r="E16" s="733">
        <v>-36505334.219999969</v>
      </c>
      <c r="F16" s="733"/>
      <c r="G16" s="733"/>
      <c r="H16" s="733">
        <f>E16/12*5</f>
        <v>-15210555.924999986</v>
      </c>
      <c r="I16" s="44">
        <f>H16-G16</f>
        <v>-15210555.924999986</v>
      </c>
      <c r="J16" s="330">
        <f t="shared" si="3"/>
        <v>1</v>
      </c>
      <c r="K16" s="735">
        <f>E16</f>
        <v>-36505334.219999969</v>
      </c>
    </row>
    <row r="17" spans="1:11" ht="12.75" customHeight="1" x14ac:dyDescent="0.25">
      <c r="A17" s="86" t="s">
        <v>69</v>
      </c>
      <c r="B17" s="171"/>
      <c r="C17" s="748"/>
      <c r="D17" s="745">
        <v>-25080461.44304001</v>
      </c>
      <c r="E17" s="733">
        <v>-58680462.000000015</v>
      </c>
      <c r="F17" s="733"/>
      <c r="G17" s="733"/>
      <c r="H17" s="733">
        <f>E17/12*5</f>
        <v>-24450192.500000004</v>
      </c>
      <c r="I17" s="44">
        <f>H17-G17</f>
        <v>-24450192.500000004</v>
      </c>
      <c r="J17" s="330">
        <f t="shared" si="3"/>
        <v>1</v>
      </c>
      <c r="K17" s="735">
        <f>E17</f>
        <v>-58680462.000000015</v>
      </c>
    </row>
    <row r="18" spans="1:11" ht="12.75" customHeight="1" x14ac:dyDescent="0.25">
      <c r="A18" s="92" t="s">
        <v>889</v>
      </c>
      <c r="B18" s="233"/>
      <c r="C18" s="243">
        <f t="shared" ref="C18:H18" si="4">SUM(C7:C13)+SUM(C15:C17)</f>
        <v>0</v>
      </c>
      <c r="D18" s="74">
        <f t="shared" si="4"/>
        <v>752533430.43256187</v>
      </c>
      <c r="E18" s="73">
        <f t="shared" si="4"/>
        <v>787419044.32572842</v>
      </c>
      <c r="F18" s="73">
        <f t="shared" si="4"/>
        <v>0</v>
      </c>
      <c r="G18" s="73">
        <f t="shared" si="4"/>
        <v>0</v>
      </c>
      <c r="H18" s="73">
        <f t="shared" si="4"/>
        <v>328091268.46905327</v>
      </c>
      <c r="I18" s="73">
        <f>H18-G18</f>
        <v>328091268.46905327</v>
      </c>
      <c r="J18" s="331">
        <f t="shared" si="3"/>
        <v>1</v>
      </c>
      <c r="K18" s="145">
        <f>SUM(K7:K13)+SUM(K15:K17)</f>
        <v>787419044.32572842</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5">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5"/>
        <v/>
      </c>
      <c r="K24" s="735"/>
    </row>
    <row r="25" spans="1:11" ht="12.75" customHeight="1" x14ac:dyDescent="0.25">
      <c r="A25" s="39" t="s">
        <v>888</v>
      </c>
      <c r="B25" s="169"/>
      <c r="C25" s="748"/>
      <c r="D25" s="745"/>
      <c r="E25" s="733"/>
      <c r="F25" s="733"/>
      <c r="G25" s="733"/>
      <c r="H25" s="733"/>
      <c r="I25" s="44">
        <f>G25-H25</f>
        <v>0</v>
      </c>
      <c r="J25" s="330" t="str">
        <f t="shared" si="5"/>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-621991580.99999988</v>
      </c>
      <c r="F27" s="733"/>
      <c r="G27" s="733"/>
      <c r="H27" s="733">
        <f>E27/12*5</f>
        <v>-259163158.74999997</v>
      </c>
      <c r="I27" s="44">
        <f>H27-G27</f>
        <v>-259163158.74999997</v>
      </c>
      <c r="J27" s="330">
        <f t="shared" si="5"/>
        <v>1</v>
      </c>
      <c r="K27" s="735">
        <f>E27</f>
        <v>-621991580.99999988</v>
      </c>
    </row>
    <row r="28" spans="1:11" ht="12.75" customHeight="1" x14ac:dyDescent="0.25">
      <c r="A28" s="92" t="s">
        <v>890</v>
      </c>
      <c r="B28" s="233"/>
      <c r="C28" s="545">
        <f t="shared" ref="C28:H28" si="6">SUM(C22:C25)+C27</f>
        <v>0</v>
      </c>
      <c r="D28" s="74">
        <f>SUM(D22:D25)+D27</f>
        <v>-580891580.99999988</v>
      </c>
      <c r="E28" s="73">
        <f t="shared" si="6"/>
        <v>-621991580.99999988</v>
      </c>
      <c r="F28" s="73">
        <f t="shared" si="6"/>
        <v>0</v>
      </c>
      <c r="G28" s="73">
        <f t="shared" si="6"/>
        <v>0</v>
      </c>
      <c r="H28" s="73">
        <f t="shared" si="6"/>
        <v>-259163158.74999997</v>
      </c>
      <c r="I28" s="73">
        <f>H28-G28</f>
        <v>-259163158.74999997</v>
      </c>
      <c r="J28" s="331">
        <f t="shared" si="5"/>
        <v>1</v>
      </c>
      <c r="K28" s="145">
        <f>SUM(K22:K25)+K27</f>
        <v>-621991580.99999988</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7">IF(I32=0,"",I32/H32)</f>
        <v/>
      </c>
      <c r="K32" s="735"/>
    </row>
    <row r="33" spans="1:11" ht="12.75" customHeight="1" x14ac:dyDescent="0.25">
      <c r="A33" s="39" t="s">
        <v>958</v>
      </c>
      <c r="B33" s="169"/>
      <c r="C33" s="748"/>
      <c r="D33" s="745"/>
      <c r="E33" s="733"/>
      <c r="F33" s="733"/>
      <c r="G33" s="733"/>
      <c r="H33" s="733"/>
      <c r="I33" s="44">
        <f>G33-H33</f>
        <v>0</v>
      </c>
      <c r="J33" s="330" t="str">
        <f t="shared" si="7"/>
        <v/>
      </c>
      <c r="K33" s="735"/>
    </row>
    <row r="34" spans="1:11" ht="12.75" customHeight="1" x14ac:dyDescent="0.25">
      <c r="A34" s="39" t="s">
        <v>70</v>
      </c>
      <c r="B34" s="169"/>
      <c r="C34" s="748"/>
      <c r="D34" s="745"/>
      <c r="E34" s="733"/>
      <c r="F34" s="733"/>
      <c r="G34" s="733"/>
      <c r="H34" s="733"/>
      <c r="I34" s="44">
        <f>G34-H34</f>
        <v>0</v>
      </c>
      <c r="J34" s="330" t="str">
        <f t="shared" si="7"/>
        <v/>
      </c>
      <c r="K34" s="735"/>
    </row>
    <row r="35" spans="1:11" ht="12.75" customHeight="1" x14ac:dyDescent="0.25">
      <c r="A35" s="87" t="s">
        <v>897</v>
      </c>
      <c r="B35" s="169"/>
      <c r="C35" s="134"/>
      <c r="D35" s="46"/>
      <c r="E35" s="44"/>
      <c r="F35" s="44"/>
      <c r="G35" s="44"/>
      <c r="H35" s="44"/>
      <c r="I35" s="44"/>
      <c r="J35" s="330" t="str">
        <f t="shared" si="7"/>
        <v/>
      </c>
      <c r="K35" s="144"/>
    </row>
    <row r="36" spans="1:11" ht="12.75" customHeight="1" x14ac:dyDescent="0.25">
      <c r="A36" s="39" t="s">
        <v>899</v>
      </c>
      <c r="B36" s="169"/>
      <c r="C36" s="748"/>
      <c r="D36" s="745">
        <v>-79206000</v>
      </c>
      <c r="E36" s="733">
        <v>-79206000</v>
      </c>
      <c r="F36" s="733"/>
      <c r="G36" s="733"/>
      <c r="H36" s="733">
        <f>E36/12*5</f>
        <v>-33002500</v>
      </c>
      <c r="I36" s="44">
        <f>H36-G36</f>
        <v>-33002500</v>
      </c>
      <c r="J36" s="330">
        <f t="shared" si="7"/>
        <v>1</v>
      </c>
      <c r="K36" s="735">
        <f>E36</f>
        <v>-79206000</v>
      </c>
    </row>
    <row r="37" spans="1:11" ht="12.75" customHeight="1" x14ac:dyDescent="0.25">
      <c r="A37" s="92" t="s">
        <v>891</v>
      </c>
      <c r="B37" s="233"/>
      <c r="C37" s="545">
        <f t="shared" ref="C37:H37" si="8">SUM(C32:C34)+C36</f>
        <v>0</v>
      </c>
      <c r="D37" s="74">
        <f t="shared" si="8"/>
        <v>-79206000</v>
      </c>
      <c r="E37" s="73">
        <f t="shared" si="8"/>
        <v>-79206000</v>
      </c>
      <c r="F37" s="73">
        <f t="shared" si="8"/>
        <v>0</v>
      </c>
      <c r="G37" s="73">
        <f t="shared" si="8"/>
        <v>0</v>
      </c>
      <c r="H37" s="73">
        <f t="shared" si="8"/>
        <v>-33002500</v>
      </c>
      <c r="I37" s="73">
        <f>H37-G37</f>
        <v>-33002500</v>
      </c>
      <c r="J37" s="331">
        <f t="shared" si="7"/>
        <v>1</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9">C18+C28+C37</f>
        <v>0</v>
      </c>
      <c r="D39" s="51">
        <f t="shared" si="9"/>
        <v>92435849.432561994</v>
      </c>
      <c r="E39" s="50">
        <f t="shared" si="9"/>
        <v>86221463.325728536</v>
      </c>
      <c r="F39" s="50">
        <f t="shared" si="9"/>
        <v>0</v>
      </c>
      <c r="G39" s="50">
        <f t="shared" si="9"/>
        <v>0</v>
      </c>
      <c r="H39" s="50">
        <f t="shared" si="9"/>
        <v>35925609.719053298</v>
      </c>
      <c r="I39" s="327"/>
      <c r="J39" s="327"/>
      <c r="K39" s="194">
        <f>K18+K28+K37</f>
        <v>86221463.325728536</v>
      </c>
    </row>
    <row r="40" spans="1:11" ht="12.75" customHeight="1" x14ac:dyDescent="0.25">
      <c r="A40" s="39" t="s">
        <v>505</v>
      </c>
      <c r="B40" s="169"/>
      <c r="C40" s="748"/>
      <c r="D40" s="745">
        <v>290000000</v>
      </c>
      <c r="E40" s="733">
        <v>517609140</v>
      </c>
      <c r="F40" s="273"/>
      <c r="G40" s="733">
        <v>470048249</v>
      </c>
      <c r="H40" s="44">
        <f>IF(E40=0, D40, E40)</f>
        <v>517609140</v>
      </c>
      <c r="I40" s="273"/>
      <c r="J40" s="273"/>
      <c r="K40" s="385">
        <f>G40</f>
        <v>470048249</v>
      </c>
    </row>
    <row r="41" spans="1:11" ht="12.75" customHeight="1" x14ac:dyDescent="0.25">
      <c r="A41" s="129" t="s">
        <v>55</v>
      </c>
      <c r="B41" s="119"/>
      <c r="C41" s="225">
        <f>C39+C40</f>
        <v>0</v>
      </c>
      <c r="D41" s="116">
        <f>D39+D40</f>
        <v>382435849.43256199</v>
      </c>
      <c r="E41" s="115">
        <f>E39+E40</f>
        <v>603830603.32572854</v>
      </c>
      <c r="F41" s="274"/>
      <c r="G41" s="115">
        <f>G39+G40</f>
        <v>470048249</v>
      </c>
      <c r="H41" s="115">
        <f>H39+H40</f>
        <v>553534749.71905327</v>
      </c>
      <c r="I41" s="274"/>
      <c r="J41" s="274"/>
      <c r="K41" s="190">
        <f>K39+K40</f>
        <v>556269712.32572854</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57"/>
  <sheetViews>
    <sheetView showGridLines="0" zoomScaleNormal="100" workbookViewId="0">
      <pane xSplit="2" ySplit="4" topLeftCell="C5" activePane="bottomRight" state="frozen"/>
      <selection pane="topRight"/>
      <selection pane="bottomLeft"/>
      <selection pane="bottomRight" activeCell="D27" sqref="D27"/>
    </sheetView>
  </sheetViews>
  <sheetFormatPr defaultColWidth="9.140625" defaultRowHeight="12.75" x14ac:dyDescent="0.25"/>
  <cols>
    <col min="1" max="1" width="4" style="68" customWidth="1"/>
    <col min="2" max="2" width="25.7109375" style="25" customWidth="1"/>
    <col min="3" max="3" width="8.7109375" style="25" customWidth="1"/>
    <col min="4" max="4" width="66.7109375" style="25" bestFit="1" customWidth="1"/>
    <col min="5" max="5" width="35.7109375" style="25" customWidth="1"/>
    <col min="6" max="16384" width="9.140625" style="25"/>
  </cols>
  <sheetData>
    <row r="1" spans="1:5" ht="13.5" x14ac:dyDescent="0.25">
      <c r="A1" s="1054" t="str">
        <f>muni&amp; " - "&amp;S71G&amp; " - "&amp;date</f>
        <v>KZN225 Msunduzi - Supporting Table SC1 Material variance explanations  - M05 November</v>
      </c>
      <c r="B1" s="1054"/>
      <c r="C1" s="1054"/>
      <c r="D1" s="1054"/>
      <c r="E1" s="1054"/>
    </row>
    <row r="2" spans="1:5" x14ac:dyDescent="0.25">
      <c r="A2" s="1036" t="str">
        <f>head27</f>
        <v>Ref</v>
      </c>
      <c r="B2" s="1043" t="str">
        <f>desc</f>
        <v>Description</v>
      </c>
      <c r="C2" s="269"/>
      <c r="D2" s="269"/>
      <c r="E2" s="275"/>
    </row>
    <row r="3" spans="1:5" x14ac:dyDescent="0.25">
      <c r="A3" s="1047"/>
      <c r="B3" s="1044"/>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x14ac:dyDescent="0.25">
      <c r="A6" s="169"/>
      <c r="B6" s="758" t="s">
        <v>963</v>
      </c>
      <c r="C6" s="1003">
        <v>-0.88924328820908438</v>
      </c>
      <c r="D6" s="758" t="s">
        <v>1462</v>
      </c>
      <c r="E6" s="758" t="s">
        <v>1461</v>
      </c>
    </row>
    <row r="7" spans="1:5" ht="11.25" customHeight="1" x14ac:dyDescent="0.25">
      <c r="A7" s="169"/>
      <c r="B7" s="758" t="s">
        <v>838</v>
      </c>
      <c r="C7" s="1003">
        <v>-0.51773311262614674</v>
      </c>
      <c r="D7" s="758" t="s">
        <v>1460</v>
      </c>
      <c r="E7" s="758" t="s">
        <v>1461</v>
      </c>
    </row>
    <row r="8" spans="1:5" ht="11.25" customHeight="1" x14ac:dyDescent="0.25">
      <c r="A8" s="169"/>
      <c r="B8" s="758" t="s">
        <v>839</v>
      </c>
      <c r="C8" s="1003">
        <v>-0.12228878192552982</v>
      </c>
      <c r="D8" s="758" t="s">
        <v>1472</v>
      </c>
      <c r="E8" s="758" t="s">
        <v>1473</v>
      </c>
    </row>
    <row r="9" spans="1:5" ht="11.25" customHeight="1" x14ac:dyDescent="0.25">
      <c r="A9" s="169"/>
      <c r="B9" s="758" t="s">
        <v>1117</v>
      </c>
      <c r="C9" s="1003">
        <v>-1.3058043771428209</v>
      </c>
      <c r="D9" s="758" t="s">
        <v>1463</v>
      </c>
      <c r="E9" s="758" t="s">
        <v>1464</v>
      </c>
    </row>
    <row r="10" spans="1:5" ht="11.25" customHeight="1" x14ac:dyDescent="0.25">
      <c r="A10" s="169"/>
      <c r="B10" s="758" t="s">
        <v>840</v>
      </c>
      <c r="C10" s="1003">
        <v>-0.45414784707524664</v>
      </c>
      <c r="D10" s="758" t="s">
        <v>1465</v>
      </c>
      <c r="E10" s="758" t="s">
        <v>1461</v>
      </c>
    </row>
    <row r="11" spans="1:5" ht="11.25" customHeight="1" x14ac:dyDescent="0.25">
      <c r="A11" s="169"/>
      <c r="B11" s="758" t="s">
        <v>580</v>
      </c>
      <c r="C11" s="1003">
        <v>0.3125591306781878</v>
      </c>
      <c r="D11" s="758" t="s">
        <v>1471</v>
      </c>
      <c r="E11" s="758" t="s">
        <v>1473</v>
      </c>
    </row>
    <row r="12" spans="1:5" ht="11.25" customHeight="1" x14ac:dyDescent="0.25">
      <c r="A12" s="169"/>
      <c r="B12" s="758"/>
      <c r="C12" s="1003"/>
      <c r="D12" s="758"/>
      <c r="E12" s="758"/>
    </row>
    <row r="13" spans="1:5" ht="11.25" customHeight="1" x14ac:dyDescent="0.25">
      <c r="A13" s="169"/>
      <c r="B13" s="758"/>
      <c r="C13" s="1003"/>
      <c r="D13" s="758"/>
      <c r="E13" s="758"/>
    </row>
    <row r="14" spans="1:5" ht="11.25" customHeight="1" x14ac:dyDescent="0.25">
      <c r="A14" s="169"/>
      <c r="B14" s="758"/>
      <c r="C14" s="748"/>
      <c r="D14" s="758"/>
      <c r="E14" s="758"/>
    </row>
    <row r="15" spans="1:5" ht="11.25" customHeight="1" x14ac:dyDescent="0.25">
      <c r="A15" s="169"/>
      <c r="B15" s="758"/>
      <c r="C15" s="748"/>
      <c r="D15" s="758"/>
      <c r="E15" s="758"/>
    </row>
    <row r="16" spans="1:5" ht="11.25" customHeight="1" x14ac:dyDescent="0.25">
      <c r="A16" s="169">
        <v>2</v>
      </c>
      <c r="B16" s="386" t="str">
        <f>'C4-FinPerf RE'!A24</f>
        <v>Expenditure By Type</v>
      </c>
      <c r="C16" s="387"/>
      <c r="D16" s="387"/>
      <c r="E16" s="387"/>
    </row>
    <row r="17" spans="1:5" ht="11.25" customHeight="1" x14ac:dyDescent="0.25">
      <c r="A17" s="169"/>
      <c r="B17" s="758" t="s">
        <v>611</v>
      </c>
      <c r="C17" s="1003">
        <v>-0.90264709939908938</v>
      </c>
      <c r="D17" s="758" t="s">
        <v>1466</v>
      </c>
      <c r="E17" s="758" t="s">
        <v>1467</v>
      </c>
    </row>
    <row r="18" spans="1:5" ht="11.25" customHeight="1" x14ac:dyDescent="0.25">
      <c r="A18" s="169"/>
      <c r="B18" s="758" t="s">
        <v>664</v>
      </c>
      <c r="C18" s="1003">
        <v>-0.12017061055164088</v>
      </c>
      <c r="D18" s="758" t="s">
        <v>1474</v>
      </c>
      <c r="E18" s="758" t="s">
        <v>1467</v>
      </c>
    </row>
    <row r="19" spans="1:5" ht="11.25" customHeight="1" x14ac:dyDescent="0.25">
      <c r="A19" s="169"/>
      <c r="B19" s="758" t="s">
        <v>844</v>
      </c>
      <c r="C19" s="1003">
        <v>0.10981219966085567</v>
      </c>
      <c r="D19" s="758" t="s">
        <v>1468</v>
      </c>
      <c r="E19" s="758" t="s">
        <v>1469</v>
      </c>
    </row>
    <row r="20" spans="1:5" ht="11.25" customHeight="1" x14ac:dyDescent="0.25">
      <c r="A20" s="169"/>
      <c r="B20" s="758" t="s">
        <v>920</v>
      </c>
      <c r="C20" s="1003">
        <v>-0.66702608411998165</v>
      </c>
      <c r="D20" s="758" t="s">
        <v>1470</v>
      </c>
      <c r="E20" s="758" t="s">
        <v>1469</v>
      </c>
    </row>
    <row r="21" spans="1:5" ht="11.25" customHeight="1" x14ac:dyDescent="0.25">
      <c r="A21" s="169"/>
      <c r="B21" s="758" t="s">
        <v>1118</v>
      </c>
      <c r="C21" s="1003">
        <v>-0.15181619694814272</v>
      </c>
      <c r="D21" s="758" t="s">
        <v>1471</v>
      </c>
      <c r="E21" s="758" t="s">
        <v>1469</v>
      </c>
    </row>
    <row r="22" spans="1:5" ht="11.25" customHeight="1" x14ac:dyDescent="0.25">
      <c r="A22" s="169"/>
      <c r="B22" s="758"/>
      <c r="C22" s="1003"/>
      <c r="D22" s="758"/>
      <c r="E22" s="758"/>
    </row>
    <row r="23" spans="1:5" ht="11.25" customHeight="1" x14ac:dyDescent="0.25">
      <c r="A23" s="169"/>
      <c r="B23" s="758"/>
      <c r="C23" s="1003"/>
      <c r="D23" s="758"/>
      <c r="E23" s="758"/>
    </row>
    <row r="24" spans="1:5" ht="11.25" customHeight="1" x14ac:dyDescent="0.25">
      <c r="A24" s="169"/>
      <c r="B24" s="758"/>
      <c r="C24" s="748"/>
      <c r="D24" s="758"/>
      <c r="E24" s="758"/>
    </row>
    <row r="25" spans="1:5" ht="11.25" customHeight="1" x14ac:dyDescent="0.25">
      <c r="A25" s="169">
        <v>3</v>
      </c>
      <c r="B25" s="386" t="str">
        <f>RIGHT('C5-Capex'!A40,19)</f>
        <v>Capital Expenditure</v>
      </c>
      <c r="C25" s="387"/>
      <c r="D25" s="387"/>
      <c r="E25" s="387"/>
    </row>
    <row r="26" spans="1:5" ht="11.25" customHeight="1" x14ac:dyDescent="0.25">
      <c r="A26" s="169"/>
      <c r="B26" s="758" t="s">
        <v>892</v>
      </c>
      <c r="C26" s="1003">
        <v>-0.30356745017100156</v>
      </c>
      <c r="D26" s="758" t="s">
        <v>1475</v>
      </c>
      <c r="E26" s="758" t="s">
        <v>1471</v>
      </c>
    </row>
    <row r="27" spans="1:5" ht="11.25" customHeight="1" x14ac:dyDescent="0.25">
      <c r="A27" s="169"/>
      <c r="B27" s="758"/>
      <c r="C27" s="748"/>
      <c r="D27" s="758"/>
      <c r="E27" s="758"/>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v>4</v>
      </c>
      <c r="B30" s="386" t="s">
        <v>79</v>
      </c>
      <c r="C30" s="387"/>
      <c r="D30" s="387"/>
      <c r="E30" s="387"/>
    </row>
    <row r="31" spans="1:5" ht="11.25" customHeight="1" x14ac:dyDescent="0.25">
      <c r="A31" s="169"/>
      <c r="B31" s="758"/>
      <c r="C31" s="748"/>
      <c r="D31" s="758"/>
      <c r="E31" s="758"/>
    </row>
    <row r="32" spans="1:5" ht="11.25" customHeight="1" x14ac:dyDescent="0.25">
      <c r="A32" s="169"/>
      <c r="B32" s="758"/>
      <c r="C32" s="748"/>
      <c r="D32" s="758"/>
      <c r="E32" s="758"/>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v>5</v>
      </c>
      <c r="B35" s="386" t="s">
        <v>80</v>
      </c>
      <c r="C35" s="387"/>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69">
        <v>6</v>
      </c>
      <c r="B40" s="386" t="s">
        <v>81</v>
      </c>
      <c r="C40" s="388"/>
      <c r="D40" s="387"/>
      <c r="E40" s="387"/>
    </row>
    <row r="41" spans="1:5" ht="11.25" customHeight="1" x14ac:dyDescent="0.25">
      <c r="A41" s="169"/>
      <c r="B41" s="758"/>
      <c r="C41" s="748"/>
      <c r="D41" s="758"/>
      <c r="E41" s="758"/>
    </row>
    <row r="42" spans="1:5" ht="11.25" customHeight="1" x14ac:dyDescent="0.25">
      <c r="A42" s="169"/>
      <c r="B42" s="758"/>
      <c r="C42" s="748"/>
      <c r="D42" s="758"/>
      <c r="E42" s="758"/>
    </row>
    <row r="43" spans="1:5" ht="11.25" customHeight="1" x14ac:dyDescent="0.25">
      <c r="A43" s="169"/>
      <c r="B43" s="758"/>
      <c r="C43" s="748"/>
      <c r="D43" s="758"/>
      <c r="E43" s="758"/>
    </row>
    <row r="44" spans="1:5" ht="11.25" customHeight="1" x14ac:dyDescent="0.25">
      <c r="A44" s="169"/>
      <c r="B44" s="758"/>
      <c r="C44" s="748"/>
      <c r="D44" s="758"/>
      <c r="E44" s="758"/>
    </row>
    <row r="45" spans="1:5" ht="11.25" customHeight="1" x14ac:dyDescent="0.25">
      <c r="A45" s="169">
        <v>7</v>
      </c>
      <c r="B45" s="386" t="s">
        <v>82</v>
      </c>
      <c r="C45" s="388"/>
      <c r="D45" s="387"/>
      <c r="E45" s="387"/>
    </row>
    <row r="46" spans="1:5" ht="11.25" customHeight="1" x14ac:dyDescent="0.25">
      <c r="A46" s="169"/>
      <c r="B46" s="758"/>
      <c r="C46" s="748"/>
      <c r="D46" s="758"/>
      <c r="E46" s="758"/>
    </row>
    <row r="47" spans="1:5" ht="11.25" customHeight="1" x14ac:dyDescent="0.25">
      <c r="A47" s="169"/>
      <c r="B47" s="758"/>
      <c r="C47" s="748"/>
      <c r="D47" s="758"/>
      <c r="E47" s="758"/>
    </row>
    <row r="48" spans="1:5" ht="11.25" customHeight="1" x14ac:dyDescent="0.25">
      <c r="A48" s="169"/>
      <c r="B48" s="758"/>
      <c r="C48" s="748"/>
      <c r="D48" s="758"/>
      <c r="E48" s="758"/>
    </row>
    <row r="49" spans="1:5" ht="11.25" customHeight="1" x14ac:dyDescent="0.25">
      <c r="A49" s="169"/>
      <c r="B49" s="758"/>
      <c r="C49" s="748"/>
      <c r="D49" s="758"/>
      <c r="E49" s="758"/>
    </row>
    <row r="50" spans="1:5" ht="11.25" customHeight="1" x14ac:dyDescent="0.25">
      <c r="A50" s="119"/>
      <c r="B50" s="759"/>
      <c r="C50" s="760"/>
      <c r="D50" s="759"/>
      <c r="E50" s="759"/>
    </row>
    <row r="51" spans="1:5" ht="11.25" customHeight="1" x14ac:dyDescent="0.25">
      <c r="A51" s="78" t="str">
        <f>head27a</f>
        <v>References</v>
      </c>
      <c r="B51" s="67"/>
      <c r="C51" s="67"/>
      <c r="D51" s="67"/>
      <c r="E51" s="67"/>
    </row>
    <row r="52" spans="1:5" ht="11.25" customHeight="1" x14ac:dyDescent="0.25">
      <c r="A52" s="33" t="s">
        <v>854</v>
      </c>
    </row>
    <row r="53" spans="1:5" ht="11.25" customHeight="1" x14ac:dyDescent="0.25">
      <c r="A53" s="33" t="s">
        <v>855</v>
      </c>
    </row>
    <row r="54" spans="1:5" ht="11.25" customHeight="1" x14ac:dyDescent="0.25">
      <c r="A54" s="33" t="s">
        <v>856</v>
      </c>
    </row>
    <row r="55" spans="1:5" ht="11.25" customHeight="1" x14ac:dyDescent="0.25">
      <c r="A55" s="33" t="s">
        <v>857</v>
      </c>
    </row>
    <row r="56" spans="1:5" ht="11.25" customHeight="1" x14ac:dyDescent="0.25">
      <c r="A56" s="33" t="s">
        <v>858</v>
      </c>
    </row>
    <row r="57" spans="1:5" ht="11.25" customHeight="1" x14ac:dyDescent="0.25">
      <c r="A57" s="33" t="s">
        <v>439</v>
      </c>
    </row>
  </sheetData>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41"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4" t="str">
        <f>muni&amp; " - "&amp;S71H&amp; " - "&amp;Head57</f>
        <v>KZN225 Msunduzi - Supporting Table SC2 Monthly Budget Statement - performance indicators   - M05 November</v>
      </c>
      <c r="B1" s="1054"/>
      <c r="C1" s="1054"/>
      <c r="D1" s="1054"/>
      <c r="E1" s="1054"/>
      <c r="F1" s="1054"/>
      <c r="G1" s="1054"/>
      <c r="H1" s="1054"/>
    </row>
    <row r="2" spans="1:11" ht="12.75" x14ac:dyDescent="0.25">
      <c r="A2" s="1059" t="s">
        <v>554</v>
      </c>
      <c r="B2" s="1043" t="s">
        <v>772</v>
      </c>
      <c r="C2" s="1036" t="str">
        <f>head27</f>
        <v>Ref</v>
      </c>
      <c r="D2" s="138" t="str">
        <f>Head1</f>
        <v>2019/20</v>
      </c>
      <c r="E2" s="245" t="str">
        <f>Head2</f>
        <v>Budget Year 2020/21</v>
      </c>
      <c r="F2" s="229"/>
      <c r="G2" s="229"/>
      <c r="H2" s="230"/>
    </row>
    <row r="3" spans="1:11" ht="25.5" x14ac:dyDescent="0.25">
      <c r="A3" s="1060"/>
      <c r="B3" s="1044"/>
      <c r="C3" s="1047"/>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9.4654310223752772E-2</v>
      </c>
      <c r="F7" s="124">
        <f>IF(ISERROR((F42+F44)/F45),0,((F42+F44)/F45))</f>
        <v>9.317279589811607E-2</v>
      </c>
      <c r="G7" s="124">
        <f>IF(ISERROR((G42+G44)/G45),0,((G42+G44)/G45))</f>
        <v>7.1237122667453011E-3</v>
      </c>
      <c r="H7" s="276">
        <f>IF(ISERROR((H42+H44)/H45),0,((H42+H44)/H45))</f>
        <v>1.6216436521133307E-2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0.15559998234964809</v>
      </c>
      <c r="G10" s="124">
        <f>IF(ISERROR(G48/G49),0,(G48/G49))</f>
        <v>0.20623693495308257</v>
      </c>
      <c r="H10" s="276">
        <f>IF(ISERROR(H48/H49),0,(H48/H49))</f>
        <v>0.15559998234964809</v>
      </c>
    </row>
    <row r="11" spans="1:11" ht="12.75" customHeight="1" x14ac:dyDescent="0.25">
      <c r="A11" s="126" t="s">
        <v>735</v>
      </c>
      <c r="B11" s="123" t="s">
        <v>719</v>
      </c>
      <c r="C11" s="174"/>
      <c r="D11" s="120">
        <f>IF(ISERROR(D51/D50),0,(D51/D50))</f>
        <v>0</v>
      </c>
      <c r="E11" s="282">
        <f>IF(ISERROR(E51/E50),0,(E51/E50))</f>
        <v>1.2322813430054802</v>
      </c>
      <c r="F11" s="124">
        <f>IF(ISERROR(F51/F50),0,(F51/F50))</f>
        <v>1.2322813412359515</v>
      </c>
      <c r="G11" s="124">
        <f>IF(ISERROR(G51/G50),0,(G51/G50))</f>
        <v>1.5003277957410632</v>
      </c>
      <c r="H11" s="276">
        <f>IF(ISERROR(H51/H50),0,(H51/H50))</f>
        <v>1.2322813412359515</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2.1353245843606672</v>
      </c>
      <c r="G13" s="124">
        <f>IF(ISERROR(G52/G53),0,(G52/G53))</f>
        <v>1.8458320745892935</v>
      </c>
      <c r="H13" s="276">
        <f>IF(ISERROR(H52/H53),0,(H52/H53))</f>
        <v>2.1353245843606672</v>
      </c>
    </row>
    <row r="14" spans="1:11" ht="12.75" customHeight="1" x14ac:dyDescent="0.25">
      <c r="A14" s="126" t="s">
        <v>738</v>
      </c>
      <c r="B14" s="123" t="s">
        <v>436</v>
      </c>
      <c r="C14" s="174"/>
      <c r="D14" s="120">
        <f>IF(ISERROR(D54/D53),0,(D54/D53))</f>
        <v>0</v>
      </c>
      <c r="E14" s="282">
        <f>IF(ISERROR(E54/E53),0,(E54/E53))</f>
        <v>0.26526391167695329</v>
      </c>
      <c r="F14" s="124">
        <f>IF(ISERROR(F54/F53),0,(F54/F53))</f>
        <v>0.44866199126707967</v>
      </c>
      <c r="G14" s="124">
        <f>IF(ISERROR(G54/G53),0,(G54/G53))</f>
        <v>0.18261571160655368</v>
      </c>
      <c r="H14" s="276">
        <f>IF(ISERROR(H54/H53),0,(H54/H53))</f>
        <v>0.44866199126707967</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0.37187969161987006</v>
      </c>
      <c r="G17" s="124">
        <f>IF(ISERROR(G59/G55),0,(G59/G55))</f>
        <v>0.95099237130705905</v>
      </c>
      <c r="H17" s="276">
        <f>IF(ISERROR(H59/H55),0,(H59/H55))</f>
        <v>0.37187969161987006</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0.24795879221072237</v>
      </c>
      <c r="F26" s="124">
        <f>IF(ISERROR(F40/F55),0,(F40/F55))</f>
        <v>0.24610812278086786</v>
      </c>
      <c r="G26" s="124">
        <f>IF(ISERROR(G40/G55),0,(G40/G55))</f>
        <v>0.25058692771146435</v>
      </c>
      <c r="H26" s="276">
        <f>IF(ISERROR(H40/H55),0,(H40/H55))</f>
        <v>0.24610812278086786</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8.8002933146086482E-2</v>
      </c>
      <c r="F28" s="124">
        <f>IF(ISERROR((F42+F44)/F55),0,((F42+F44)/F55))</f>
        <v>8.6234945624557441E-2</v>
      </c>
      <c r="G28" s="124">
        <f>IF(ISERROR((G42+G44)/G55),0,((G42+G44)/G55))</f>
        <v>6.8935926546682055E-3</v>
      </c>
      <c r="H28" s="276">
        <f>IF(ISERROR((H42+H44)/H55),0,((H42+H44)/H55))</f>
        <v>1.5008925171175354E-2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11262846829.863354</v>
      </c>
      <c r="G39" s="97">
        <f>'C6-FinPos'!F26</f>
        <v>10777340110.99</v>
      </c>
      <c r="H39" s="48">
        <f>'C6-FinPos'!G26</f>
        <v>11262846829.863354</v>
      </c>
    </row>
    <row r="40" spans="1:9" ht="12.75" customHeight="1" x14ac:dyDescent="0.25">
      <c r="A40" s="42" t="str">
        <f>'C4-FinPerf RE'!A25</f>
        <v>Employee related costs</v>
      </c>
      <c r="B40" s="67"/>
      <c r="C40" s="67"/>
      <c r="D40" s="84">
        <f>'C4-FinPerf RE'!C25</f>
        <v>0</v>
      </c>
      <c r="E40" s="84">
        <f>'C4-FinPerf RE'!D25</f>
        <v>1467373084.0741799</v>
      </c>
      <c r="F40" s="84">
        <f>'C4-FinPerf RE'!E25</f>
        <v>1478324304.2495084</v>
      </c>
      <c r="G40" s="97">
        <f>'C4-FinPerf RE'!G25</f>
        <v>597565465.65000021</v>
      </c>
      <c r="H40" s="48">
        <f>'C4-FinPerf RE'!K25</f>
        <v>1478324304.2495084</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16438897.84</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0</v>
      </c>
      <c r="H43" s="48">
        <f>-'C7-CFlow'!K36</f>
        <v>79206000</v>
      </c>
    </row>
    <row r="44" spans="1:9" ht="12.75" customHeight="1" x14ac:dyDescent="0.25">
      <c r="A44" s="42" t="s">
        <v>530</v>
      </c>
      <c r="B44" s="67"/>
      <c r="C44" s="67"/>
      <c r="D44" s="84">
        <f>'C4-FinPerf RE'!C28</f>
        <v>0</v>
      </c>
      <c r="E44" s="84">
        <f>'C4-FinPerf RE'!D28</f>
        <v>488991448.27473986</v>
      </c>
      <c r="F44" s="84">
        <f>'C4-FinPerf RE'!E28</f>
        <v>481491449.27473986</v>
      </c>
      <c r="G44" s="97"/>
      <c r="H44" s="48">
        <f>'C4-FinPerf RE'!K26</f>
        <v>53650401.439999998</v>
      </c>
    </row>
    <row r="45" spans="1:9" ht="12.75" customHeight="1" x14ac:dyDescent="0.25">
      <c r="A45" s="42" t="s">
        <v>0</v>
      </c>
      <c r="B45" s="67"/>
      <c r="C45" s="67"/>
      <c r="D45" s="84">
        <f>'C4-FinPerf RE'!C36</f>
        <v>0</v>
      </c>
      <c r="E45" s="84">
        <f>'C4-FinPerf RE'!D36</f>
        <v>5501964562.0327282</v>
      </c>
      <c r="F45" s="84">
        <f>'C4-FinPerf RE'!E36</f>
        <v>5559528170.2307873</v>
      </c>
      <c r="G45" s="97">
        <f>'C4-FinPerf RE'!G36</f>
        <v>2307630800.4100008</v>
      </c>
      <c r="H45" s="48">
        <f>'C4-FinPerf RE'!K36</f>
        <v>5559528170.2307873</v>
      </c>
    </row>
    <row r="46" spans="1:9" ht="12.75" customHeight="1" x14ac:dyDescent="0.25">
      <c r="A46" s="42" t="str">
        <f>'C5-Capex'!A40</f>
        <v>Total Capital Expenditure</v>
      </c>
      <c r="B46" s="67"/>
      <c r="C46" s="67"/>
      <c r="D46" s="84">
        <f>'C5-Capex'!C40</f>
        <v>0</v>
      </c>
      <c r="E46" s="84">
        <f>'C5-Capex'!D40</f>
        <v>580891581</v>
      </c>
      <c r="F46" s="84">
        <f>'C5-Capex'!E40</f>
        <v>621991581</v>
      </c>
      <c r="G46" s="97">
        <f>'C5-Capex'!G40</f>
        <v>180489659.47000003</v>
      </c>
      <c r="H46" s="48">
        <f>'C5-Capex'!K40</f>
        <v>621991581</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1373190758.9767976</v>
      </c>
      <c r="G48" s="84">
        <f>'C6-FinPos'!F30+'C6-FinPos'!F31+'C6-FinPos'!F33+'C6-FinPos'!F38</f>
        <v>1700057543.9499998</v>
      </c>
      <c r="H48" s="48">
        <f>'C6-FinPos'!G30+'C6-FinPos'!G31+'C6-FinPos'!G33+'C6-FinPos'!G38</f>
        <v>1373190758.9767976</v>
      </c>
    </row>
    <row r="49" spans="1:8" ht="12.75" customHeight="1" x14ac:dyDescent="0.25">
      <c r="A49" s="42" t="s">
        <v>532</v>
      </c>
      <c r="B49" s="67"/>
      <c r="C49" s="67"/>
      <c r="D49" s="84">
        <f>'C6-FinPos'!C48</f>
        <v>0</v>
      </c>
      <c r="E49" s="84">
        <f>'C6-FinPos'!D48</f>
        <v>8779187113.8762474</v>
      </c>
      <c r="F49" s="84">
        <f>'C6-FinPos'!E48</f>
        <v>8825134413.5188026</v>
      </c>
      <c r="G49" s="97">
        <f>'C6-FinPos'!F48</f>
        <v>8243225416.1300001</v>
      </c>
      <c r="H49" s="48">
        <f>'C6-FinPos'!G48</f>
        <v>8825134413.5188026</v>
      </c>
    </row>
    <row r="50" spans="1:8" ht="12.75" customHeight="1" x14ac:dyDescent="0.25">
      <c r="A50" s="42" t="str">
        <f>'C6-FinPos'!A47</f>
        <v>Reserves</v>
      </c>
      <c r="B50" s="67"/>
      <c r="C50" s="67"/>
      <c r="D50" s="84">
        <f>'C6-FinPos'!C47</f>
        <v>0</v>
      </c>
      <c r="E50" s="84">
        <f>'C6-FinPos'!D47</f>
        <v>228913258</v>
      </c>
      <c r="F50" s="84">
        <f>'C6-FinPos'!E47</f>
        <v>228913258.32871437</v>
      </c>
      <c r="G50" s="97">
        <f>'C6-FinPos'!F47</f>
        <v>190170439.06</v>
      </c>
      <c r="H50" s="48">
        <f>'C6-FinPos'!G47</f>
        <v>228913258.32871437</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2873821177.5626497</v>
      </c>
      <c r="G52" s="97">
        <f>'C6-FinPos'!F13</f>
        <v>3163801157.9799995</v>
      </c>
      <c r="H52" s="48">
        <f>'C6-FinPos'!G13</f>
        <v>2873821177.5626497</v>
      </c>
    </row>
    <row r="53" spans="1:8" ht="12.75" customHeight="1" x14ac:dyDescent="0.25">
      <c r="A53" s="42" t="str">
        <f>'C6-FinPos'!A29</f>
        <v>Current liabilities</v>
      </c>
      <c r="B53" s="67"/>
      <c r="C53" s="67"/>
      <c r="D53" s="84">
        <f>'C6-FinPos'!C35</f>
        <v>0</v>
      </c>
      <c r="E53" s="84">
        <f>'C6-FinPos'!D35</f>
        <v>1441718351.4141357</v>
      </c>
      <c r="F53" s="84">
        <f>'C6-FinPos'!E35</f>
        <v>1345847464.4139848</v>
      </c>
      <c r="G53" s="97">
        <f>'C6-FinPos'!F35</f>
        <v>1714024369.5700002</v>
      </c>
      <c r="H53" s="48">
        <f>'C6-FinPos'!G35</f>
        <v>1345847464.4139848</v>
      </c>
    </row>
    <row r="54" spans="1:8" ht="12.75" customHeight="1" x14ac:dyDescent="0.25">
      <c r="A54" s="42" t="s">
        <v>534</v>
      </c>
      <c r="B54" s="67"/>
      <c r="C54" s="67"/>
      <c r="D54" s="84">
        <f>'C6-FinPos'!C7+'C6-FinPos'!C8</f>
        <v>0</v>
      </c>
      <c r="E54" s="84">
        <f>'C6-FinPos'!D7+'C6-FinPos'!D8</f>
        <v>382435849.43256199</v>
      </c>
      <c r="F54" s="84">
        <f>'C6-FinPos'!E7+'C6-FinPos'!E8</f>
        <v>603830603.32572854</v>
      </c>
      <c r="G54" s="97">
        <f>'C6-FinPos'!F7+'C6-FinPos'!F8</f>
        <v>313007779.96000016</v>
      </c>
      <c r="H54" s="48">
        <f>'C6-FinPos'!G7+'C6-FinPos'!G8</f>
        <v>603830603.32572854</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6006808257.8720617</v>
      </c>
      <c r="G55" s="97">
        <f>'C4-FinPerf RE'!G22</f>
        <v>2384663362.5599999</v>
      </c>
      <c r="H55" s="48">
        <f>'C4-FinPerf RE'!K22</f>
        <v>6006808257.8720617</v>
      </c>
    </row>
    <row r="56" spans="1:8" ht="12.75" customHeight="1" x14ac:dyDescent="0.25">
      <c r="A56" s="42" t="str">
        <f>'C4-FinPerf RE'!A19</f>
        <v>Transfers and subsidies</v>
      </c>
      <c r="B56" s="67"/>
      <c r="C56" s="67"/>
      <c r="D56" s="84">
        <f>'C4-FinPerf RE'!C19</f>
        <v>0</v>
      </c>
      <c r="E56" s="84">
        <f>'C4-FinPerf RE'!D19</f>
        <v>675483240</v>
      </c>
      <c r="F56" s="84">
        <f>'C4-FinPerf RE'!E19</f>
        <v>764481240</v>
      </c>
      <c r="G56" s="97">
        <f>'C4-FinPerf RE'!G19</f>
        <v>293615675.90000004</v>
      </c>
      <c r="H56" s="48">
        <f>'C4-FinPerf RE'!K19</f>
        <v>764481240</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525891580.99999982</v>
      </c>
      <c r="G57" s="97">
        <f>'C4-FinPerf RE'!G39</f>
        <v>186752684.79000002</v>
      </c>
      <c r="H57" s="48">
        <f>'C4-FinPerf RE'!K39</f>
        <v>525891580.99999982</v>
      </c>
    </row>
    <row r="58" spans="1:8" ht="12.75" customHeight="1" x14ac:dyDescent="0.25">
      <c r="A58" s="42" t="s">
        <v>446</v>
      </c>
      <c r="B58" s="67"/>
      <c r="C58" s="67"/>
      <c r="D58" s="84">
        <f>'C7-CFlow'!C12+'C7-CFlow'!C36</f>
        <v>0</v>
      </c>
      <c r="E58" s="84">
        <f>'C7-CFlow'!D12+'C7-CFlow'!D36</f>
        <v>105854483.86592242</v>
      </c>
      <c r="F58" s="84">
        <f>'C7-CFlow'!E12+'C7-CFlow'!E36</f>
        <v>105854483.86592242</v>
      </c>
      <c r="G58" s="97">
        <f>'C7-CFlow'!G16+'C7-CFlow'!G36</f>
        <v>0</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2233810002.5571513</v>
      </c>
      <c r="G59" s="97">
        <f>'C6-FinPos'!F9+'C6-FinPos'!F10+'C6-FinPos'!F11+'C6-FinPos'!F16</f>
        <v>2267796665.9299994</v>
      </c>
      <c r="H59" s="48">
        <f>'C6-FinPos'!G9+'C6-FinPos'!G10+'C6-FinPos'!G11+'C6-FinPos'!G16</f>
        <v>2233810002.5571513</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1446615993.4000001</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603830603.32572854</v>
      </c>
      <c r="G61" s="97">
        <f>'C6-FinPos'!F7+'C6-FinPos'!F8+'C6-FinPos'!F17-'C6-FinPos'!F30</f>
        <v>313007779.96000016</v>
      </c>
      <c r="H61" s="48">
        <f>'C6-FinPos'!G7+'C6-FinPos'!G8+'C6-FinPos'!G17-'C6-FinPos'!G30</f>
        <v>603830603.32572854</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375005.99000000022</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C4" activePane="bottomRight" state="frozen"/>
      <selection pane="topRight"/>
      <selection pane="bottomLeft"/>
      <selection pane="bottomRight" activeCell="G38" sqref="G38"/>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4" t="str">
        <f>muni&amp; " - "&amp;S71I&amp; " - "&amp;Head57</f>
        <v>KZN225 Msunduzi - Supporting Table SC3 Monthly Budget Statement - aged debtors - M05 November</v>
      </c>
      <c r="B1" s="1054"/>
      <c r="C1" s="1061"/>
      <c r="D1" s="1061"/>
      <c r="E1" s="1061"/>
      <c r="F1" s="1061"/>
      <c r="G1" s="1061"/>
      <c r="H1" s="1061"/>
      <c r="I1" s="1061"/>
      <c r="J1" s="1061"/>
      <c r="K1" s="1061"/>
      <c r="L1" s="1061"/>
      <c r="M1" s="1061"/>
      <c r="N1" s="162"/>
      <c r="O1" s="406"/>
    </row>
    <row r="2" spans="1:16" ht="13.35" customHeight="1" x14ac:dyDescent="0.25">
      <c r="A2" s="355" t="str">
        <f>desc</f>
        <v>Description</v>
      </c>
      <c r="B2" s="894"/>
      <c r="C2" s="1062" t="str">
        <f>Head2</f>
        <v>Budget Year 2020/21</v>
      </c>
      <c r="D2" s="1063"/>
      <c r="E2" s="1063"/>
      <c r="F2" s="1063"/>
      <c r="G2" s="1063"/>
      <c r="H2" s="1063"/>
      <c r="I2" s="1063"/>
      <c r="J2" s="1063"/>
      <c r="K2" s="1063"/>
      <c r="L2" s="1063"/>
      <c r="M2" s="1063"/>
      <c r="N2" s="1064"/>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130464757.33</v>
      </c>
      <c r="D5" s="733">
        <v>45427052.579999998</v>
      </c>
      <c r="E5" s="733">
        <v>34754109.770000003</v>
      </c>
      <c r="F5" s="733">
        <v>42549644.670000002</v>
      </c>
      <c r="G5" s="733">
        <v>27923372.32</v>
      </c>
      <c r="H5" s="733">
        <v>27751658.140000001</v>
      </c>
      <c r="I5" s="733">
        <v>142085500.90000001</v>
      </c>
      <c r="J5" s="744">
        <v>1320138431.74</v>
      </c>
      <c r="K5" s="134">
        <f>SUM(C5:J5)</f>
        <v>1771094527.45</v>
      </c>
      <c r="L5" s="134">
        <f>SUM(F5:J5)</f>
        <v>1560448607.77</v>
      </c>
      <c r="M5" s="747"/>
      <c r="N5" s="747">
        <v>1004865428.35</v>
      </c>
      <c r="O5" s="912"/>
    </row>
    <row r="6" spans="1:16" ht="12.75" customHeight="1" x14ac:dyDescent="0.25">
      <c r="A6" s="39" t="s">
        <v>1079</v>
      </c>
      <c r="B6" s="169">
        <v>1300</v>
      </c>
      <c r="C6" s="745">
        <v>164664688.09999999</v>
      </c>
      <c r="D6" s="733">
        <v>31011260.52</v>
      </c>
      <c r="E6" s="733">
        <v>18837295.84</v>
      </c>
      <c r="F6" s="733">
        <v>15699655.57</v>
      </c>
      <c r="G6" s="733">
        <v>9726143.1199999992</v>
      </c>
      <c r="H6" s="733">
        <v>7896606.5300000003</v>
      </c>
      <c r="I6" s="733">
        <v>36554465.229999997</v>
      </c>
      <c r="J6" s="744">
        <v>146801685.68000001</v>
      </c>
      <c r="K6" s="134">
        <f>SUM(C6:J6)</f>
        <v>431191800.59000003</v>
      </c>
      <c r="L6" s="134">
        <f t="shared" ref="L6:L12" si="0">SUM(F6:J6)</f>
        <v>216678556.13</v>
      </c>
      <c r="M6" s="747"/>
      <c r="N6" s="747">
        <v>93667235.680000007</v>
      </c>
      <c r="O6" s="912"/>
    </row>
    <row r="7" spans="1:16" ht="12.75" customHeight="1" x14ac:dyDescent="0.25">
      <c r="A7" s="39" t="s">
        <v>1078</v>
      </c>
      <c r="B7" s="169">
        <v>1400</v>
      </c>
      <c r="C7" s="745">
        <v>168072173.81</v>
      </c>
      <c r="D7" s="733">
        <v>35600546.32</v>
      </c>
      <c r="E7" s="733">
        <v>34696702.409999996</v>
      </c>
      <c r="F7" s="733">
        <v>39327093.950000003</v>
      </c>
      <c r="G7" s="733">
        <v>23048120.07</v>
      </c>
      <c r="H7" s="733">
        <v>19963195.449999999</v>
      </c>
      <c r="I7" s="733">
        <v>87301916.450000003</v>
      </c>
      <c r="J7" s="744">
        <v>548941674.40999997</v>
      </c>
      <c r="K7" s="134">
        <f t="shared" ref="K7:K13" si="1">SUM(C7:J7)</f>
        <v>956951422.86999989</v>
      </c>
      <c r="L7" s="134">
        <f t="shared" si="0"/>
        <v>718582000.32999992</v>
      </c>
      <c r="M7" s="747"/>
      <c r="N7" s="747">
        <v>408839588.99000001</v>
      </c>
      <c r="O7" s="912"/>
    </row>
    <row r="8" spans="1:16" ht="12.75" customHeight="1" x14ac:dyDescent="0.25">
      <c r="A8" s="39" t="s">
        <v>1080</v>
      </c>
      <c r="B8" s="169">
        <v>1500</v>
      </c>
      <c r="C8" s="745">
        <v>26935562.960000001</v>
      </c>
      <c r="D8" s="733">
        <v>6722971.1699999999</v>
      </c>
      <c r="E8" s="733">
        <v>6013594.4900000002</v>
      </c>
      <c r="F8" s="733">
        <v>5155369.88</v>
      </c>
      <c r="G8" s="733">
        <v>5038036.49</v>
      </c>
      <c r="H8" s="733">
        <v>5605201.8499999996</v>
      </c>
      <c r="I8" s="733">
        <v>22827487.390000001</v>
      </c>
      <c r="J8" s="744">
        <v>239294177.16</v>
      </c>
      <c r="K8" s="134">
        <f t="shared" si="1"/>
        <v>317592401.38999999</v>
      </c>
      <c r="L8" s="134">
        <f t="shared" si="0"/>
        <v>277920272.76999998</v>
      </c>
      <c r="M8" s="747"/>
      <c r="N8" s="747">
        <v>191452984.19</v>
      </c>
      <c r="O8" s="912"/>
    </row>
    <row r="9" spans="1:16" ht="12.75" customHeight="1" x14ac:dyDescent="0.25">
      <c r="A9" s="39" t="s">
        <v>1081</v>
      </c>
      <c r="B9" s="169">
        <v>1600</v>
      </c>
      <c r="C9" s="745">
        <v>14221405.970000001</v>
      </c>
      <c r="D9" s="733">
        <v>3518559.39</v>
      </c>
      <c r="E9" s="733">
        <v>3182595.21</v>
      </c>
      <c r="F9" s="733">
        <v>2972960.96</v>
      </c>
      <c r="G9" s="733">
        <v>1911846.12</v>
      </c>
      <c r="H9" s="733">
        <v>2564719.88</v>
      </c>
      <c r="I9" s="733">
        <v>13397250.529999999</v>
      </c>
      <c r="J9" s="744">
        <v>137217586.99000001</v>
      </c>
      <c r="K9" s="134">
        <f t="shared" si="1"/>
        <v>178986925.05000001</v>
      </c>
      <c r="L9" s="134">
        <f>SUM(F9:J9)</f>
        <v>158064364.48000002</v>
      </c>
      <c r="M9" s="747"/>
      <c r="N9" s="747">
        <v>106978597.59999999</v>
      </c>
      <c r="O9" s="912"/>
    </row>
    <row r="10" spans="1:16" ht="12.75" customHeight="1" x14ac:dyDescent="0.25">
      <c r="A10" s="39" t="s">
        <v>1082</v>
      </c>
      <c r="B10" s="169">
        <v>1700</v>
      </c>
      <c r="C10" s="745">
        <v>2811010.96</v>
      </c>
      <c r="D10" s="733">
        <v>865793.89</v>
      </c>
      <c r="E10" s="733">
        <v>810210.89</v>
      </c>
      <c r="F10" s="733">
        <v>860614.71</v>
      </c>
      <c r="G10" s="733">
        <v>631114.09</v>
      </c>
      <c r="H10" s="733">
        <v>1639004.8</v>
      </c>
      <c r="I10" s="733">
        <v>5262494.8600000003</v>
      </c>
      <c r="J10" s="744">
        <v>43010431.390000001</v>
      </c>
      <c r="K10" s="134">
        <f t="shared" si="1"/>
        <v>55890675.590000004</v>
      </c>
      <c r="L10" s="134">
        <f>SUM(F10:J10)</f>
        <v>51403659.850000001</v>
      </c>
      <c r="M10" s="747"/>
      <c r="N10" s="747">
        <v>33953440.630000003</v>
      </c>
      <c r="O10" s="912"/>
    </row>
    <row r="11" spans="1:16" ht="12.75" customHeight="1" x14ac:dyDescent="0.25">
      <c r="A11" s="39" t="s">
        <v>1083</v>
      </c>
      <c r="B11" s="169">
        <v>1810</v>
      </c>
      <c r="C11" s="745">
        <v>31887130.739999998</v>
      </c>
      <c r="D11" s="733">
        <v>16465637.720000001</v>
      </c>
      <c r="E11" s="733">
        <v>16178366.1</v>
      </c>
      <c r="F11" s="733">
        <v>23328826.239999998</v>
      </c>
      <c r="G11" s="733">
        <v>32395250.800000001</v>
      </c>
      <c r="H11" s="733">
        <v>23782566.57</v>
      </c>
      <c r="I11" s="733">
        <v>90341256.510000005</v>
      </c>
      <c r="J11" s="744">
        <v>494616752.62</v>
      </c>
      <c r="K11" s="134">
        <f t="shared" si="1"/>
        <v>728995787.29999995</v>
      </c>
      <c r="L11" s="134">
        <f t="shared" si="0"/>
        <v>664464652.74000001</v>
      </c>
      <c r="M11" s="747"/>
      <c r="N11" s="747">
        <v>249232012.99000001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-5157935.9800000004</v>
      </c>
      <c r="D13" s="733">
        <v>121568.4</v>
      </c>
      <c r="E13" s="733">
        <v>160385.89000000001</v>
      </c>
      <c r="F13" s="733">
        <v>415507.19</v>
      </c>
      <c r="G13" s="733">
        <v>840104.41</v>
      </c>
      <c r="H13" s="733">
        <v>0</v>
      </c>
      <c r="I13" s="733">
        <v>226717.24</v>
      </c>
      <c r="J13" s="744">
        <v>321942702.44</v>
      </c>
      <c r="K13" s="134">
        <f t="shared" si="1"/>
        <v>318549049.58999997</v>
      </c>
      <c r="L13" s="134">
        <f>SUM(F13:J13)</f>
        <v>323425031.27999997</v>
      </c>
      <c r="M13" s="747"/>
      <c r="N13" s="747">
        <v>321159000.81999999</v>
      </c>
      <c r="O13" s="912"/>
    </row>
    <row r="14" spans="1:16" ht="12.75" customHeight="1" x14ac:dyDescent="0.25">
      <c r="A14" s="53" t="s">
        <v>1085</v>
      </c>
      <c r="B14" s="284">
        <v>2000</v>
      </c>
      <c r="C14" s="56">
        <f t="shared" ref="C14:N14" si="2">SUM(C5:C13)</f>
        <v>533898793.88999999</v>
      </c>
      <c r="D14" s="55">
        <f t="shared" si="2"/>
        <v>139733389.99000001</v>
      </c>
      <c r="E14" s="55">
        <f t="shared" si="2"/>
        <v>114633260.59999998</v>
      </c>
      <c r="F14" s="55">
        <f t="shared" si="2"/>
        <v>130309673.16999997</v>
      </c>
      <c r="G14" s="55">
        <f t="shared" si="2"/>
        <v>101513987.42</v>
      </c>
      <c r="H14" s="55">
        <f t="shared" si="2"/>
        <v>89202953.219999999</v>
      </c>
      <c r="I14" s="55">
        <f t="shared" si="2"/>
        <v>397997089.10999995</v>
      </c>
      <c r="J14" s="83">
        <f t="shared" si="2"/>
        <v>3251963442.4299994</v>
      </c>
      <c r="K14" s="112">
        <f t="shared" si="2"/>
        <v>4759252589.8299999</v>
      </c>
      <c r="L14" s="112">
        <f>SUM(L5:L13)</f>
        <v>3970987145.3499994</v>
      </c>
      <c r="M14" s="54">
        <f t="shared" si="2"/>
        <v>0</v>
      </c>
      <c r="N14" s="54">
        <f t="shared" si="2"/>
        <v>2410148289.25</v>
      </c>
      <c r="O14" s="913"/>
    </row>
    <row r="15" spans="1:16" ht="12.75" customHeight="1" x14ac:dyDescent="0.25">
      <c r="A15" s="313" t="str">
        <f>Head1&amp;" - totals only"</f>
        <v>2019/20 - totals only</v>
      </c>
      <c r="B15" s="367"/>
      <c r="C15" s="745">
        <v>704600774.9000001</v>
      </c>
      <c r="D15" s="745">
        <v>-4325301.05</v>
      </c>
      <c r="E15" s="745">
        <v>117682805.63000001</v>
      </c>
      <c r="F15" s="745">
        <v>101021025.72999999</v>
      </c>
      <c r="G15" s="745">
        <v>97617113.169999987</v>
      </c>
      <c r="H15" s="745">
        <v>89416119.010000005</v>
      </c>
      <c r="I15" s="745">
        <v>534223289.34000003</v>
      </c>
      <c r="J15" s="745">
        <v>2831952593.4300003</v>
      </c>
      <c r="K15" s="795">
        <f>SUM(C15:J15)</f>
        <v>4472188420.1599998</v>
      </c>
      <c r="L15" s="368">
        <f>SUM(F15:J15)</f>
        <v>3654230140.6800003</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228267267.72</v>
      </c>
      <c r="D17" s="733">
        <v>32923350.579999998</v>
      </c>
      <c r="E17" s="733">
        <v>21314987.859999999</v>
      </c>
      <c r="F17" s="733">
        <v>19281226.949999999</v>
      </c>
      <c r="G17" s="733">
        <v>19794729.489999998</v>
      </c>
      <c r="H17" s="733">
        <v>14883392.439999999</v>
      </c>
      <c r="I17" s="733">
        <v>56949002.100000001</v>
      </c>
      <c r="J17" s="744">
        <v>330189517.66000003</v>
      </c>
      <c r="K17" s="134">
        <f>SUM(C17:J17)</f>
        <v>723603474.80000007</v>
      </c>
      <c r="L17" s="645">
        <f>SUM(F17:J17)</f>
        <v>441097868.63999999</v>
      </c>
      <c r="M17" s="747"/>
      <c r="N17" s="748">
        <v>230338142.11000001</v>
      </c>
    </row>
    <row r="18" spans="1:14" ht="12.75" customHeight="1" x14ac:dyDescent="0.25">
      <c r="A18" s="39" t="s">
        <v>1087</v>
      </c>
      <c r="B18" s="169">
        <v>2300</v>
      </c>
      <c r="C18" s="745">
        <v>49959231.340000004</v>
      </c>
      <c r="D18" s="733">
        <v>13834448.1</v>
      </c>
      <c r="E18" s="733">
        <v>13735184.550000001</v>
      </c>
      <c r="F18" s="733">
        <v>13910803.35</v>
      </c>
      <c r="G18" s="733">
        <v>7994953.8200000003</v>
      </c>
      <c r="H18" s="733">
        <v>5984318.96</v>
      </c>
      <c r="I18" s="733">
        <v>23659771.449999999</v>
      </c>
      <c r="J18" s="744">
        <v>124535037.72</v>
      </c>
      <c r="K18" s="134">
        <f>SUM(C18:J18)</f>
        <v>253613749.28999999</v>
      </c>
      <c r="L18" s="645">
        <f>SUM(F18:J18)</f>
        <v>176084885.30000001</v>
      </c>
      <c r="M18" s="747"/>
      <c r="N18" s="748">
        <v>79811075.129999995</v>
      </c>
    </row>
    <row r="19" spans="1:14" ht="12.75" customHeight="1" x14ac:dyDescent="0.25">
      <c r="A19" s="39" t="s">
        <v>685</v>
      </c>
      <c r="B19" s="169">
        <v>2400</v>
      </c>
      <c r="C19" s="745">
        <v>249351645.69</v>
      </c>
      <c r="D19" s="733">
        <v>87823096.269999996</v>
      </c>
      <c r="E19" s="733">
        <v>74013506.540000007</v>
      </c>
      <c r="F19" s="733">
        <v>88463777.590000004</v>
      </c>
      <c r="G19" s="733">
        <v>70126843.75</v>
      </c>
      <c r="H19" s="733">
        <v>63907471.960000001</v>
      </c>
      <c r="I19" s="733">
        <v>298873282.04000002</v>
      </c>
      <c r="J19" s="744">
        <v>2610093444.3000002</v>
      </c>
      <c r="K19" s="134">
        <f>SUM(C19:J19)</f>
        <v>3542653068.1400003</v>
      </c>
      <c r="L19" s="645">
        <f>SUM(F19:J19)</f>
        <v>3131464819.6400003</v>
      </c>
      <c r="M19" s="747"/>
      <c r="N19" s="748">
        <v>1950855104.0899999</v>
      </c>
    </row>
    <row r="20" spans="1:14" ht="12.75" customHeight="1" x14ac:dyDescent="0.25">
      <c r="A20" s="39" t="s">
        <v>718</v>
      </c>
      <c r="B20" s="169">
        <v>2500</v>
      </c>
      <c r="C20" s="745">
        <v>6320649.1399999997</v>
      </c>
      <c r="D20" s="733">
        <v>5152495.04</v>
      </c>
      <c r="E20" s="733">
        <v>5569581.6500000004</v>
      </c>
      <c r="F20" s="733">
        <v>8653865.2799999993</v>
      </c>
      <c r="G20" s="733">
        <v>3597460.36</v>
      </c>
      <c r="H20" s="733">
        <v>4427769.8600000003</v>
      </c>
      <c r="I20" s="733">
        <v>18515033.52</v>
      </c>
      <c r="J20" s="744">
        <v>187145442.75</v>
      </c>
      <c r="K20" s="134">
        <f>SUM(C20:J20)</f>
        <v>239382297.59999999</v>
      </c>
      <c r="L20" s="645">
        <f>SUM(F20:J20)</f>
        <v>222339571.76999998</v>
      </c>
      <c r="M20" s="747"/>
      <c r="N20" s="749">
        <v>149143967.91999999</v>
      </c>
    </row>
    <row r="21" spans="1:14" ht="12.75" customHeight="1" x14ac:dyDescent="0.25">
      <c r="A21" s="53" t="s">
        <v>1090</v>
      </c>
      <c r="B21" s="284">
        <v>2600</v>
      </c>
      <c r="C21" s="56">
        <f t="shared" ref="C21:I21" si="3">SUM(C17:C20)</f>
        <v>533898793.88999999</v>
      </c>
      <c r="D21" s="55">
        <f t="shared" si="3"/>
        <v>139733389.98999998</v>
      </c>
      <c r="E21" s="55">
        <f t="shared" si="3"/>
        <v>114633260.60000001</v>
      </c>
      <c r="F21" s="55">
        <f t="shared" si="3"/>
        <v>130309673.17</v>
      </c>
      <c r="G21" s="55">
        <f t="shared" si="3"/>
        <v>101513987.42</v>
      </c>
      <c r="H21" s="55">
        <f t="shared" si="3"/>
        <v>89202953.219999999</v>
      </c>
      <c r="I21" s="55">
        <f t="shared" si="3"/>
        <v>397997089.11000001</v>
      </c>
      <c r="J21" s="83">
        <f>SUM(J17:J20)</f>
        <v>3251963442.4300003</v>
      </c>
      <c r="K21" s="112">
        <f>SUM(K17:K20)</f>
        <v>4759252589.8300009</v>
      </c>
      <c r="L21" s="914">
        <f>SUM(L17:L20)</f>
        <v>3970987145.3500004</v>
      </c>
      <c r="M21" s="54">
        <f>SUM(M17:M20)</f>
        <v>0</v>
      </c>
      <c r="N21" s="244">
        <f>SUM(N17:N20)</f>
        <v>2410148289.25</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5</v>
      </c>
    </row>
    <row r="11" spans="4:25" x14ac:dyDescent="0.2">
      <c r="W11" s="646" t="s">
        <v>866</v>
      </c>
      <c r="X11" s="701" t="str">
        <f>VLOOKUP(X10,W39:X55,2)</f>
        <v>M05 November</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13</v>
      </c>
    </row>
    <row r="36" spans="22:25" x14ac:dyDescent="0.2">
      <c r="X36" s="684">
        <f>INDEX(X19:X33,X35,1)</f>
        <v>2020</v>
      </c>
    </row>
    <row r="37" spans="22:25" x14ac:dyDescent="0.2">
      <c r="W37" s="646" t="s">
        <v>151</v>
      </c>
      <c r="X37" s="682"/>
    </row>
    <row r="38" spans="22:25" x14ac:dyDescent="0.2">
      <c r="X38" s="681" t="str">
        <f>MTREF&amp;"/"&amp;RIGHT(MTREF,2)+1</f>
        <v>2020/21</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H35" sqref="H35"/>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4" t="str">
        <f>muni&amp; " - "&amp;S71J&amp; " - "&amp;Head57</f>
        <v>KZN225 Msunduzi - Supporting Table SC4 Monthly Budget Statement - aged creditors  - M05 November</v>
      </c>
      <c r="B1" s="1054"/>
      <c r="C1" s="1054"/>
      <c r="D1" s="1054"/>
      <c r="E1" s="1054"/>
      <c r="F1" s="1054"/>
      <c r="G1" s="1054"/>
      <c r="H1" s="1054"/>
      <c r="I1" s="1054"/>
      <c r="J1" s="1054"/>
      <c r="K1" s="1054"/>
    </row>
    <row r="2" spans="1:12" ht="12.75" customHeight="1" x14ac:dyDescent="0.25">
      <c r="A2" s="1043" t="str">
        <f>desc</f>
        <v>Description</v>
      </c>
      <c r="B2" s="1075" t="s">
        <v>734</v>
      </c>
      <c r="C2" s="137" t="str">
        <f>Head2</f>
        <v>Budget Year 2020/21</v>
      </c>
      <c r="D2" s="137"/>
      <c r="E2" s="137"/>
      <c r="F2" s="137"/>
      <c r="G2" s="137"/>
      <c r="H2" s="137"/>
      <c r="I2" s="137"/>
      <c r="J2" s="137"/>
      <c r="K2" s="138"/>
      <c r="L2" s="1065" t="s">
        <v>74</v>
      </c>
    </row>
    <row r="3" spans="1:12" ht="12.75" customHeight="1" x14ac:dyDescent="0.25">
      <c r="A3" s="1074"/>
      <c r="B3" s="1076"/>
      <c r="C3" s="1077" t="s">
        <v>726</v>
      </c>
      <c r="D3" s="1068" t="s">
        <v>727</v>
      </c>
      <c r="E3" s="1068" t="s">
        <v>728</v>
      </c>
      <c r="F3" s="1068" t="s">
        <v>729</v>
      </c>
      <c r="G3" s="1068" t="s">
        <v>730</v>
      </c>
      <c r="H3" s="1068" t="s">
        <v>731</v>
      </c>
      <c r="I3" s="1068" t="s">
        <v>732</v>
      </c>
      <c r="J3" s="1070" t="s">
        <v>733</v>
      </c>
      <c r="K3" s="1072" t="s">
        <v>506</v>
      </c>
      <c r="L3" s="1066"/>
    </row>
    <row r="4" spans="1:12" ht="12.75" customHeight="1" x14ac:dyDescent="0.25">
      <c r="A4" s="34" t="s">
        <v>667</v>
      </c>
      <c r="B4" s="1073"/>
      <c r="C4" s="1078"/>
      <c r="D4" s="1069"/>
      <c r="E4" s="1069"/>
      <c r="F4" s="1069"/>
      <c r="G4" s="1069"/>
      <c r="H4" s="1069"/>
      <c r="I4" s="1069"/>
      <c r="J4" s="1071"/>
      <c r="K4" s="1073"/>
      <c r="L4" s="1067"/>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327693869.08999997</v>
      </c>
      <c r="D6" s="733">
        <v>0</v>
      </c>
      <c r="E6" s="733">
        <v>-66808746.719999999</v>
      </c>
      <c r="F6" s="733">
        <v>130570724.97</v>
      </c>
      <c r="G6" s="733"/>
      <c r="H6" s="733"/>
      <c r="I6" s="733"/>
      <c r="J6" s="735"/>
      <c r="K6" s="109">
        <f>SUM(C6:J6)</f>
        <v>391455847.33999997</v>
      </c>
      <c r="L6" s="748">
        <v>256245094.77000001</v>
      </c>
    </row>
    <row r="7" spans="1:12" ht="12.75" customHeight="1" x14ac:dyDescent="0.25">
      <c r="A7" s="39" t="s">
        <v>688</v>
      </c>
      <c r="B7" s="169" t="s">
        <v>689</v>
      </c>
      <c r="C7" s="753">
        <v>84463030.209999993</v>
      </c>
      <c r="D7" s="733">
        <v>84463030.209999993</v>
      </c>
      <c r="E7" s="733">
        <v>-30729778.940000001</v>
      </c>
      <c r="F7" s="733">
        <v>158863522.09</v>
      </c>
      <c r="G7" s="733">
        <v>289572.01</v>
      </c>
      <c r="H7" s="733"/>
      <c r="I7" s="733"/>
      <c r="J7" s="735"/>
      <c r="K7" s="109">
        <f t="shared" ref="K7:K13" si="0">SUM(C7:J7)</f>
        <v>297349375.57999998</v>
      </c>
      <c r="L7" s="748">
        <v>81130845.659999996</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212318145.49999997</v>
      </c>
      <c r="D9" s="733"/>
      <c r="E9" s="733"/>
      <c r="F9" s="733"/>
      <c r="G9" s="733"/>
      <c r="H9" s="733"/>
      <c r="I9" s="733"/>
      <c r="J9" s="735"/>
      <c r="K9" s="109">
        <f t="shared" si="0"/>
        <v>212318145.49999997</v>
      </c>
      <c r="L9" s="748">
        <v>179563284.99000001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92484163.940000042</v>
      </c>
      <c r="D12" s="733">
        <v>-90578483</v>
      </c>
      <c r="E12" s="733">
        <v>123784100.39999999</v>
      </c>
      <c r="F12" s="733">
        <v>-80872891.819999993</v>
      </c>
      <c r="G12" s="733">
        <v>-16108915.370000001</v>
      </c>
      <c r="H12" s="733">
        <v>34432812.240000002</v>
      </c>
      <c r="I12" s="733">
        <v>0</v>
      </c>
      <c r="J12" s="735">
        <v>14872464.060000001</v>
      </c>
      <c r="K12" s="109">
        <f t="shared" si="0"/>
        <v>78013250.450000048</v>
      </c>
      <c r="L12" s="748">
        <v>83717874.810000002</v>
      </c>
    </row>
    <row r="13" spans="1:12" ht="12.75" customHeight="1" x14ac:dyDescent="0.25">
      <c r="A13" s="39" t="s">
        <v>599</v>
      </c>
      <c r="B13" s="169" t="s">
        <v>600</v>
      </c>
      <c r="C13" s="753">
        <v>946631.06</v>
      </c>
      <c r="D13" s="733"/>
      <c r="E13" s="733"/>
      <c r="F13" s="733"/>
      <c r="G13" s="733"/>
      <c r="H13" s="733"/>
      <c r="I13" s="733"/>
      <c r="J13" s="735"/>
      <c r="K13" s="109">
        <f t="shared" si="0"/>
        <v>946631.06</v>
      </c>
      <c r="L13" s="748">
        <v>0</v>
      </c>
    </row>
    <row r="14" spans="1:12" ht="12.75" customHeight="1" x14ac:dyDescent="0.25">
      <c r="A14" s="39" t="s">
        <v>718</v>
      </c>
      <c r="B14" s="169" t="s">
        <v>601</v>
      </c>
      <c r="C14" s="753">
        <v>373249543.65999997</v>
      </c>
      <c r="D14" s="733"/>
      <c r="E14" s="733"/>
      <c r="F14" s="733"/>
      <c r="G14" s="733"/>
      <c r="H14" s="733"/>
      <c r="I14" s="733"/>
      <c r="J14" s="735"/>
      <c r="K14" s="109">
        <f>SUM(C14:J14)</f>
        <v>373249543.65999997</v>
      </c>
      <c r="L14" s="748">
        <v>211758765.66999999</v>
      </c>
    </row>
    <row r="15" spans="1:12" ht="12.75" customHeight="1" x14ac:dyDescent="0.25">
      <c r="A15" s="53" t="s">
        <v>919</v>
      </c>
      <c r="B15" s="284">
        <v>1000</v>
      </c>
      <c r="C15" s="271">
        <f>SUM(C6:C14)</f>
        <v>1091155383.46</v>
      </c>
      <c r="D15" s="55">
        <f t="shared" ref="D15:J15" si="1">SUM(D6:D14)</f>
        <v>-6115452.7900000066</v>
      </c>
      <c r="E15" s="55">
        <f t="shared" si="1"/>
        <v>26245574.739999995</v>
      </c>
      <c r="F15" s="55">
        <f t="shared" si="1"/>
        <v>208561355.24000001</v>
      </c>
      <c r="G15" s="55">
        <f t="shared" si="1"/>
        <v>-15819343.360000001</v>
      </c>
      <c r="H15" s="55">
        <f t="shared" si="1"/>
        <v>34432812.240000002</v>
      </c>
      <c r="I15" s="55">
        <f t="shared" si="1"/>
        <v>0</v>
      </c>
      <c r="J15" s="235">
        <f t="shared" si="1"/>
        <v>14872464.060000001</v>
      </c>
      <c r="K15" s="112">
        <f>SUM(K6:K14)</f>
        <v>1353332793.5899999</v>
      </c>
      <c r="L15" s="160">
        <f>SUM(L6:L14)</f>
        <v>812415865.89999998</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G4" activePane="bottomRight" state="frozen"/>
      <selection pane="topRight"/>
      <selection pane="bottomLeft"/>
      <selection pane="bottomRight" activeCell="K38" sqref="K38"/>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4" t="str">
        <f>muni&amp; " - "&amp;S71K&amp; " - "&amp;Head57</f>
        <v>KZN225 Msunduzi - Supporting Table SC5 Monthly Budget Statement - investment portfolio  - M05 November</v>
      </c>
      <c r="B1" s="1054"/>
      <c r="C1" s="1054"/>
      <c r="D1" s="1054"/>
      <c r="E1" s="1054"/>
      <c r="F1" s="1054"/>
      <c r="G1" s="1054"/>
      <c r="H1" s="1054"/>
      <c r="I1" s="1054"/>
      <c r="J1" s="1054"/>
      <c r="K1" s="67"/>
    </row>
    <row r="2" spans="1:15" ht="54" customHeight="1" x14ac:dyDescent="0.25">
      <c r="A2" s="270" t="s">
        <v>894</v>
      </c>
      <c r="B2" s="1075" t="s">
        <v>571</v>
      </c>
      <c r="C2" s="26" t="s">
        <v>126</v>
      </c>
      <c r="D2" s="1081" t="s">
        <v>607</v>
      </c>
      <c r="E2" s="948" t="s">
        <v>1356</v>
      </c>
      <c r="F2" s="948" t="s">
        <v>1357</v>
      </c>
      <c r="G2" s="948" t="s">
        <v>1358</v>
      </c>
      <c r="H2" s="948" t="s">
        <v>1359</v>
      </c>
      <c r="I2" s="948" t="s">
        <v>1360</v>
      </c>
      <c r="J2" s="1083" t="s">
        <v>608</v>
      </c>
      <c r="K2" s="149" t="s">
        <v>1361</v>
      </c>
      <c r="L2" s="142" t="s">
        <v>1362</v>
      </c>
      <c r="M2" s="26" t="s">
        <v>1363</v>
      </c>
      <c r="N2" s="26" t="s">
        <v>1364</v>
      </c>
      <c r="O2" s="142" t="s">
        <v>1365</v>
      </c>
    </row>
    <row r="3" spans="1:15" ht="12.75" customHeight="1" x14ac:dyDescent="0.25">
      <c r="A3" s="34" t="s">
        <v>667</v>
      </c>
      <c r="B3" s="1073"/>
      <c r="C3" s="413" t="s">
        <v>127</v>
      </c>
      <c r="D3" s="1082"/>
      <c r="E3" s="949"/>
      <c r="F3" s="949"/>
      <c r="G3" s="949"/>
      <c r="H3" s="949"/>
      <c r="I3" s="949"/>
      <c r="J3" s="1071"/>
      <c r="K3" s="1079"/>
      <c r="L3" s="1079"/>
      <c r="M3" s="1079"/>
      <c r="N3" s="1079"/>
      <c r="O3" s="1080"/>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172181355.85000002</v>
      </c>
      <c r="L5" s="954">
        <v>240884.38</v>
      </c>
      <c r="M5" s="955">
        <v>-140403519.61000001</v>
      </c>
      <c r="N5" s="955">
        <v>107513783.06999999</v>
      </c>
      <c r="O5" s="956">
        <f t="shared" ref="O5:O11" si="0">SUM(K5:N5)</f>
        <v>139532503.69</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172181355.85000002</v>
      </c>
      <c r="L12" s="960"/>
      <c r="M12" s="961">
        <f>SUM(M5:M11)</f>
        <v>-140403519.61000001</v>
      </c>
      <c r="N12" s="961">
        <f>SUM(N5:N11)</f>
        <v>107513783.06999999</v>
      </c>
      <c r="O12" s="962">
        <f>SUM(O5:O11)</f>
        <v>139532503.69</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c r="B15" s="169"/>
      <c r="C15" s="950"/>
      <c r="D15" s="951"/>
      <c r="E15" s="951"/>
      <c r="F15" s="951"/>
      <c r="G15" s="951"/>
      <c r="H15" s="951"/>
      <c r="I15" s="951"/>
      <c r="J15" s="952"/>
      <c r="K15" s="953"/>
      <c r="L15" s="954"/>
      <c r="M15" s="955"/>
      <c r="N15" s="955"/>
      <c r="O15" s="956">
        <f t="shared" ref="O15:O21" si="1">SUM(K15:N15)</f>
        <v>0</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0</v>
      </c>
      <c r="L22" s="960"/>
      <c r="M22" s="961">
        <f>SUM(M15:M21)</f>
        <v>0</v>
      </c>
      <c r="N22" s="961">
        <f>SUM(N15:N21)</f>
        <v>0</v>
      </c>
      <c r="O22" s="962">
        <f>SUM(O15:O21)</f>
        <v>0</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172181355.85000002</v>
      </c>
      <c r="L24" s="978"/>
      <c r="M24" s="979">
        <f>M12+M22</f>
        <v>-140403519.61000001</v>
      </c>
      <c r="N24" s="979">
        <f>N12+N22</f>
        <v>107513783.06999999</v>
      </c>
      <c r="O24" s="980">
        <f>O12+O22</f>
        <v>139532503.69</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tabSelected="1" zoomScaleNormal="100" workbookViewId="0">
      <pane xSplit="2" ySplit="4" topLeftCell="C5" activePane="bottomRight" state="frozen"/>
      <selection pane="topRight"/>
      <selection pane="bottomLeft"/>
      <selection pane="bottomRight" activeCell="F9" sqref="F9:G9"/>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"&amp;S71L&amp; " - "&amp;Head57</f>
        <v>KZN225 Msunduzi - Supporting Table SC6 Monthly Budget Statement - transfers and grant receipts  - M05 November</v>
      </c>
      <c r="B1" s="1054"/>
      <c r="C1" s="1054"/>
      <c r="D1" s="1054"/>
      <c r="E1" s="1054"/>
      <c r="F1" s="1054"/>
      <c r="G1" s="1054"/>
      <c r="H1" s="1054"/>
      <c r="I1" s="1054"/>
      <c r="J1" s="1054"/>
      <c r="K1" s="1054"/>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278053226.06</v>
      </c>
      <c r="G8" s="50">
        <f t="shared" si="0"/>
        <v>554785226.05999994</v>
      </c>
      <c r="H8" s="50">
        <f t="shared" si="0"/>
        <v>290669406.24999994</v>
      </c>
      <c r="I8" s="50">
        <f t="shared" si="0"/>
        <v>264115819.80999994</v>
      </c>
      <c r="J8" s="343">
        <f>IF(I8=0,"",I8/H8)</f>
        <v>0.90864677923082937</v>
      </c>
      <c r="K8" s="194">
        <f>SUM(K9:K16)</f>
        <v>697606575</v>
      </c>
    </row>
    <row r="9" spans="1:11" ht="12.75" customHeight="1" x14ac:dyDescent="0.25">
      <c r="A9" s="733" t="s">
        <v>986</v>
      </c>
      <c r="B9" s="169"/>
      <c r="C9" s="779"/>
      <c r="D9" s="780">
        <v>593405000</v>
      </c>
      <c r="E9" s="734">
        <v>682403000</v>
      </c>
      <c r="F9" s="734">
        <v>278053226.06</v>
      </c>
      <c r="G9" s="734">
        <v>545085226.05999994</v>
      </c>
      <c r="H9" s="733">
        <f>E9/12*5</f>
        <v>284334583.33333331</v>
      </c>
      <c r="I9" s="514">
        <f>G9-H9</f>
        <v>260750642.72666663</v>
      </c>
      <c r="J9" s="552">
        <f>IF(I9=0,"",I9/H9)</f>
        <v>0.91705567317845904</v>
      </c>
      <c r="K9" s="736">
        <f>E9</f>
        <v>682403000</v>
      </c>
    </row>
    <row r="10" spans="1:11" ht="12.75" customHeight="1" x14ac:dyDescent="0.25">
      <c r="A10" s="733" t="s">
        <v>988</v>
      </c>
      <c r="B10" s="169"/>
      <c r="C10" s="748"/>
      <c r="D10" s="745">
        <v>1700000</v>
      </c>
      <c r="E10" s="733">
        <v>1700000</v>
      </c>
      <c r="F10" s="733"/>
      <c r="G10" s="733">
        <v>1700000</v>
      </c>
      <c r="H10" s="733">
        <f>E10/12*5</f>
        <v>708333.33333333326</v>
      </c>
      <c r="I10" s="514">
        <f t="shared" ref="I10:I15" si="1">G10-H10</f>
        <v>991666.66666666674</v>
      </c>
      <c r="J10" s="552">
        <f t="shared" ref="J10:J15" si="2">IF(I10=0,"",I10/H10)</f>
        <v>1.4000000000000004</v>
      </c>
      <c r="K10" s="735">
        <f>E10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c r="G12" s="733"/>
      <c r="H12" s="733">
        <f>E12/12*5</f>
        <v>1828333.3333333335</v>
      </c>
      <c r="I12" s="514">
        <f t="shared" si="1"/>
        <v>-1828333.3333333335</v>
      </c>
      <c r="J12" s="552">
        <f t="shared" si="2"/>
        <v>-1</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c r="G16" s="733">
        <v>8000000</v>
      </c>
      <c r="H16" s="733">
        <f>E16/12*5</f>
        <v>3798156.25</v>
      </c>
      <c r="I16" s="44">
        <f>G16-H16</f>
        <v>4201843.75</v>
      </c>
      <c r="J16" s="124">
        <f>IF(I16=0,"",I16/H16)</f>
        <v>1.1062851218930239</v>
      </c>
      <c r="K16" s="735">
        <f>E16</f>
        <v>9115575</v>
      </c>
    </row>
    <row r="17" spans="1:11" ht="12.75" customHeight="1" x14ac:dyDescent="0.25">
      <c r="A17" s="106" t="s">
        <v>623</v>
      </c>
      <c r="B17" s="169"/>
      <c r="C17" s="516">
        <f t="shared" ref="C17:I17" si="3">SUM(C18:C28)</f>
        <v>0</v>
      </c>
      <c r="D17" s="475">
        <f t="shared" si="3"/>
        <v>66874665</v>
      </c>
      <c r="E17" s="430">
        <f t="shared" si="3"/>
        <v>66874665</v>
      </c>
      <c r="F17" s="430">
        <f t="shared" si="3"/>
        <v>23500131.32</v>
      </c>
      <c r="G17" s="430">
        <f t="shared" si="3"/>
        <v>44464551.019999996</v>
      </c>
      <c r="H17" s="430">
        <f t="shared" si="3"/>
        <v>27864443.749999996</v>
      </c>
      <c r="I17" s="430">
        <f t="shared" si="3"/>
        <v>16600107.27</v>
      </c>
      <c r="J17" s="553">
        <f>IF(I17=0,"",I17/H17)</f>
        <v>0.59574515174019949</v>
      </c>
      <c r="K17" s="513">
        <f>SUM(K18:K28)</f>
        <v>66874665</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v>1097000</v>
      </c>
      <c r="H19" s="733"/>
      <c r="I19" s="44">
        <f t="shared" si="4"/>
        <v>1097000</v>
      </c>
      <c r="J19" s="124" t="e">
        <f t="shared" si="5"/>
        <v>#DIV/0!</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v>3603000</v>
      </c>
      <c r="F21" s="733"/>
      <c r="G21" s="733"/>
      <c r="H21" s="733">
        <f>E21/12*5</f>
        <v>1501250</v>
      </c>
      <c r="I21" s="44">
        <f t="shared" si="4"/>
        <v>-1501250</v>
      </c>
      <c r="J21" s="124">
        <f t="shared" si="5"/>
        <v>-1</v>
      </c>
      <c r="K21" s="735">
        <f>E21</f>
        <v>3603000</v>
      </c>
    </row>
    <row r="22" spans="1:11" ht="12.75" customHeight="1" x14ac:dyDescent="0.25">
      <c r="A22" s="1002" t="s">
        <v>1435</v>
      </c>
      <c r="B22" s="169"/>
      <c r="C22" s="748"/>
      <c r="D22" s="745">
        <v>4264000</v>
      </c>
      <c r="E22" s="733">
        <v>4264000</v>
      </c>
      <c r="F22" s="733"/>
      <c r="G22" s="733"/>
      <c r="H22" s="733">
        <f>E22/12*5</f>
        <v>1776666.6666666665</v>
      </c>
      <c r="I22" s="44">
        <f t="shared" si="4"/>
        <v>-1776666.6666666665</v>
      </c>
      <c r="J22" s="124">
        <f t="shared" si="5"/>
        <v>-1</v>
      </c>
      <c r="K22" s="735">
        <f>E22</f>
        <v>4264000</v>
      </c>
    </row>
    <row r="23" spans="1:11" ht="12.75" customHeight="1" x14ac:dyDescent="0.25">
      <c r="A23" s="1002" t="s">
        <v>1436</v>
      </c>
      <c r="B23" s="169"/>
      <c r="C23" s="748"/>
      <c r="D23" s="745">
        <v>24079242</v>
      </c>
      <c r="E23" s="733">
        <v>24079242</v>
      </c>
      <c r="F23" s="733"/>
      <c r="G23" s="733"/>
      <c r="H23" s="733">
        <f>E23/12*5</f>
        <v>10033017.5</v>
      </c>
      <c r="I23" s="44">
        <f t="shared" si="4"/>
        <v>-10033017.5</v>
      </c>
      <c r="J23" s="124">
        <f t="shared" si="5"/>
        <v>-1</v>
      </c>
      <c r="K23" s="735">
        <f>E23</f>
        <v>24079242</v>
      </c>
    </row>
    <row r="24" spans="1:11" ht="12.75" customHeight="1" x14ac:dyDescent="0.25">
      <c r="A24" s="1002" t="s">
        <v>1437</v>
      </c>
      <c r="B24" s="169"/>
      <c r="C24" s="748"/>
      <c r="D24" s="745">
        <v>22740423</v>
      </c>
      <c r="E24" s="733">
        <v>22740423</v>
      </c>
      <c r="F24" s="733">
        <v>2314131.3200000003</v>
      </c>
      <c r="G24" s="733">
        <v>22181551.02</v>
      </c>
      <c r="H24" s="733">
        <f>E24/12*5</f>
        <v>9475176.25</v>
      </c>
      <c r="I24" s="44">
        <f t="shared" si="4"/>
        <v>12706374.77</v>
      </c>
      <c r="J24" s="124">
        <f t="shared" si="5"/>
        <v>1.3410172470406552</v>
      </c>
      <c r="K24" s="735">
        <f>E24</f>
        <v>22740423</v>
      </c>
    </row>
    <row r="25" spans="1:11" ht="12.75" customHeight="1" x14ac:dyDescent="0.25">
      <c r="A25" s="1002" t="s">
        <v>1451</v>
      </c>
      <c r="B25" s="169"/>
      <c r="C25" s="748"/>
      <c r="D25" s="745"/>
      <c r="E25" s="733"/>
      <c r="F25" s="733">
        <v>21186000</v>
      </c>
      <c r="G25" s="733">
        <v>21186000</v>
      </c>
      <c r="H25" s="733"/>
      <c r="I25" s="44">
        <f t="shared" si="4"/>
        <v>21186000</v>
      </c>
      <c r="J25" s="124" t="e">
        <f t="shared" si="5"/>
        <v>#DIV/0!</v>
      </c>
      <c r="K25" s="735"/>
    </row>
    <row r="26" spans="1:11" ht="12.75" customHeight="1" x14ac:dyDescent="0.25">
      <c r="A26" s="1002" t="s">
        <v>1438</v>
      </c>
      <c r="B26" s="169">
        <v>4</v>
      </c>
      <c r="C26" s="748"/>
      <c r="D26" s="745">
        <v>10200000</v>
      </c>
      <c r="E26" s="733">
        <v>10200000</v>
      </c>
      <c r="F26" s="733"/>
      <c r="G26" s="733"/>
      <c r="H26" s="733">
        <f>E26/12*5</f>
        <v>4250000</v>
      </c>
      <c r="I26" s="44">
        <f t="shared" ref="I26:I32" si="6">G26-H26</f>
        <v>-4250000</v>
      </c>
      <c r="J26" s="124">
        <f t="shared" ref="J26:J33" si="7">IF(I26=0,"",I26/H26)</f>
        <v>-1</v>
      </c>
      <c r="K26" s="735">
        <f>E26</f>
        <v>10200000</v>
      </c>
    </row>
    <row r="27" spans="1:11" ht="12.75" customHeight="1" x14ac:dyDescent="0.25">
      <c r="A27" s="1002" t="s">
        <v>1439</v>
      </c>
      <c r="B27" s="169"/>
      <c r="C27" s="748"/>
      <c r="D27" s="745">
        <v>488000</v>
      </c>
      <c r="E27" s="733">
        <v>488000</v>
      </c>
      <c r="F27" s="733"/>
      <c r="G27" s="733"/>
      <c r="H27" s="733">
        <f>E27/12*5</f>
        <v>203333.33333333331</v>
      </c>
      <c r="I27" s="44">
        <f t="shared" si="6"/>
        <v>-203333.33333333331</v>
      </c>
      <c r="J27" s="124">
        <f t="shared" si="7"/>
        <v>-1</v>
      </c>
      <c r="K27" s="735">
        <f>E27</f>
        <v>488000</v>
      </c>
    </row>
    <row r="28" spans="1:11" ht="12.75" customHeight="1" x14ac:dyDescent="0.25">
      <c r="A28" s="1002" t="s">
        <v>1440</v>
      </c>
      <c r="B28" s="169"/>
      <c r="C28" s="748"/>
      <c r="D28" s="745">
        <v>1500000</v>
      </c>
      <c r="E28" s="733">
        <v>1500000</v>
      </c>
      <c r="F28" s="733"/>
      <c r="G28" s="733"/>
      <c r="H28" s="733">
        <f>E28/12*5</f>
        <v>625000</v>
      </c>
      <c r="I28" s="44">
        <f t="shared" si="6"/>
        <v>-625000</v>
      </c>
      <c r="J28" s="124">
        <f t="shared" si="7"/>
        <v>-1</v>
      </c>
      <c r="K28" s="735">
        <f>E28</f>
        <v>1500000</v>
      </c>
    </row>
    <row r="29" spans="1:11" ht="12.75" customHeight="1" x14ac:dyDescent="0.25">
      <c r="A29" s="106" t="s">
        <v>519</v>
      </c>
      <c r="B29" s="169"/>
      <c r="C29" s="516">
        <f t="shared" ref="C29:H29" si="8">SUM(C30:C30)</f>
        <v>0</v>
      </c>
      <c r="D29" s="475">
        <f t="shared" si="8"/>
        <v>0</v>
      </c>
      <c r="E29" s="430">
        <f t="shared" si="8"/>
        <v>0</v>
      </c>
      <c r="F29" s="430">
        <f t="shared" si="8"/>
        <v>0</v>
      </c>
      <c r="G29" s="430">
        <f t="shared" si="8"/>
        <v>0</v>
      </c>
      <c r="H29" s="430">
        <f t="shared" si="8"/>
        <v>0</v>
      </c>
      <c r="I29" s="514">
        <f t="shared" si="6"/>
        <v>0</v>
      </c>
      <c r="J29" s="552" t="str">
        <f t="shared" si="7"/>
        <v/>
      </c>
      <c r="K29" s="513">
        <f>SUM(K30:K30)</f>
        <v>0</v>
      </c>
    </row>
    <row r="30" spans="1:11" ht="12.75" customHeight="1" x14ac:dyDescent="0.25">
      <c r="A30" s="781" t="s">
        <v>567</v>
      </c>
      <c r="B30" s="169"/>
      <c r="C30" s="783"/>
      <c r="D30" s="784"/>
      <c r="E30" s="737"/>
      <c r="F30" s="737"/>
      <c r="G30" s="737"/>
      <c r="H30" s="737"/>
      <c r="I30" s="514">
        <f t="shared" si="6"/>
        <v>0</v>
      </c>
      <c r="J30" s="552" t="str">
        <f t="shared" si="7"/>
        <v/>
      </c>
      <c r="K30" s="738"/>
    </row>
    <row r="31" spans="1:11" ht="12.75" customHeight="1" x14ac:dyDescent="0.25">
      <c r="A31" s="106" t="s">
        <v>818</v>
      </c>
      <c r="B31" s="169"/>
      <c r="C31" s="516">
        <f t="shared" ref="C31:H31" si="9">SUM(C32:C32)</f>
        <v>0</v>
      </c>
      <c r="D31" s="475">
        <f t="shared" si="9"/>
        <v>0</v>
      </c>
      <c r="E31" s="430">
        <f t="shared" si="9"/>
        <v>0</v>
      </c>
      <c r="F31" s="430">
        <f t="shared" si="9"/>
        <v>0</v>
      </c>
      <c r="G31" s="430">
        <f t="shared" si="9"/>
        <v>0</v>
      </c>
      <c r="H31" s="430">
        <f t="shared" si="9"/>
        <v>0</v>
      </c>
      <c r="I31" s="514">
        <f t="shared" si="6"/>
        <v>0</v>
      </c>
      <c r="J31" s="552" t="str">
        <f t="shared" si="7"/>
        <v/>
      </c>
      <c r="K31" s="513">
        <f>SUM(K32:K32)</f>
        <v>0</v>
      </c>
    </row>
    <row r="32" spans="1:11" ht="12.75" customHeight="1" x14ac:dyDescent="0.25">
      <c r="A32" s="781" t="s">
        <v>567</v>
      </c>
      <c r="B32" s="169"/>
      <c r="C32" s="783"/>
      <c r="D32" s="784"/>
      <c r="E32" s="737"/>
      <c r="F32" s="737"/>
      <c r="G32" s="737"/>
      <c r="H32" s="737"/>
      <c r="I32" s="514">
        <f t="shared" si="6"/>
        <v>0</v>
      </c>
      <c r="J32" s="552" t="str">
        <f t="shared" si="7"/>
        <v/>
      </c>
      <c r="K32" s="738"/>
    </row>
    <row r="33" spans="1:11" ht="12.75" customHeight="1" x14ac:dyDescent="0.25">
      <c r="A33" s="558" t="s">
        <v>62</v>
      </c>
      <c r="B33" s="233">
        <v>5</v>
      </c>
      <c r="C33" s="243">
        <f t="shared" ref="C33:I33" si="10">C8+C17+C29+C31</f>
        <v>0</v>
      </c>
      <c r="D33" s="74">
        <f t="shared" si="10"/>
        <v>675483240</v>
      </c>
      <c r="E33" s="73">
        <f t="shared" si="10"/>
        <v>764481240</v>
      </c>
      <c r="F33" s="73">
        <f t="shared" si="10"/>
        <v>301553357.38</v>
      </c>
      <c r="G33" s="73">
        <f t="shared" si="10"/>
        <v>599249777.07999992</v>
      </c>
      <c r="H33" s="73">
        <f t="shared" si="10"/>
        <v>318533849.99999994</v>
      </c>
      <c r="I33" s="73">
        <f t="shared" si="10"/>
        <v>280715927.07999992</v>
      </c>
      <c r="J33" s="304">
        <f t="shared" si="7"/>
        <v>0.88127502643753552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1">SUM(C37:C44)</f>
        <v>0</v>
      </c>
      <c r="D36" s="46">
        <f t="shared" si="11"/>
        <v>255267424.99999985</v>
      </c>
      <c r="E36" s="44">
        <f t="shared" si="11"/>
        <v>255267424.99999985</v>
      </c>
      <c r="F36" s="44">
        <f t="shared" si="11"/>
        <v>0</v>
      </c>
      <c r="G36" s="44">
        <f t="shared" si="11"/>
        <v>112450000</v>
      </c>
      <c r="H36" s="44">
        <f t="shared" si="11"/>
        <v>106361427.08333327</v>
      </c>
      <c r="I36" s="44">
        <f t="shared" si="11"/>
        <v>6088572.9166667275</v>
      </c>
      <c r="J36" s="343">
        <f>IF(I36=0,"",I36/H36)</f>
        <v>5.724418225318078E-2</v>
      </c>
      <c r="K36" s="144">
        <f>SUM(K37:K44)</f>
        <v>255267424.99999985</v>
      </c>
    </row>
    <row r="37" spans="1:11" ht="12.75" customHeight="1" x14ac:dyDescent="0.25">
      <c r="A37" s="778" t="s">
        <v>1441</v>
      </c>
      <c r="B37" s="169"/>
      <c r="C37" s="779"/>
      <c r="D37" s="780">
        <v>187012424.99999985</v>
      </c>
      <c r="E37" s="734">
        <v>187012424.99999985</v>
      </c>
      <c r="F37" s="734"/>
      <c r="G37" s="734">
        <v>72000000</v>
      </c>
      <c r="H37" s="733">
        <f>E37/12*5</f>
        <v>77921843.74999994</v>
      </c>
      <c r="I37" s="514">
        <f>G37-H37</f>
        <v>-5921843.7499999404</v>
      </c>
      <c r="J37" s="552">
        <f>IF(I37=0,"",I37/H37)</f>
        <v>-7.5997223179154375E-2</v>
      </c>
      <c r="K37" s="736">
        <f>E37</f>
        <v>187012424.99999985</v>
      </c>
    </row>
    <row r="38" spans="1:11" ht="12.75" customHeight="1" x14ac:dyDescent="0.25">
      <c r="A38" s="778" t="s">
        <v>1453</v>
      </c>
      <c r="B38" s="169"/>
      <c r="C38" s="748"/>
      <c r="D38" s="745"/>
      <c r="E38" s="733"/>
      <c r="F38" s="733"/>
      <c r="G38" s="733"/>
      <c r="H38" s="733"/>
      <c r="I38" s="514">
        <f t="shared" ref="I38:I44" si="12">G38-H38</f>
        <v>0</v>
      </c>
      <c r="J38" s="552" t="str">
        <f t="shared" ref="J38:J44" si="13">IF(I38=0,"",I38/H38)</f>
        <v/>
      </c>
      <c r="K38" s="735"/>
    </row>
    <row r="39" spans="1:11" ht="12.75" customHeight="1" x14ac:dyDescent="0.25">
      <c r="A39" s="778" t="s">
        <v>1001</v>
      </c>
      <c r="B39" s="169"/>
      <c r="C39" s="748"/>
      <c r="D39" s="745">
        <v>35000000</v>
      </c>
      <c r="E39" s="733">
        <v>35000000</v>
      </c>
      <c r="F39" s="733"/>
      <c r="G39" s="733">
        <v>10450000</v>
      </c>
      <c r="H39" s="733">
        <f>E39/12*5</f>
        <v>14583333.333333332</v>
      </c>
      <c r="I39" s="514">
        <f t="shared" si="12"/>
        <v>-4133333.3333333321</v>
      </c>
      <c r="J39" s="552">
        <f t="shared" si="13"/>
        <v>-0.28342857142857136</v>
      </c>
      <c r="K39" s="735">
        <f>E39</f>
        <v>35000000</v>
      </c>
    </row>
    <row r="40" spans="1:11" ht="12.75" customHeight="1" x14ac:dyDescent="0.25">
      <c r="A40" s="778" t="s">
        <v>1454</v>
      </c>
      <c r="B40" s="169"/>
      <c r="C40" s="748"/>
      <c r="D40" s="745"/>
      <c r="E40" s="733"/>
      <c r="F40" s="733"/>
      <c r="G40" s="733"/>
      <c r="H40" s="733"/>
      <c r="I40" s="514">
        <f t="shared" si="12"/>
        <v>0</v>
      </c>
      <c r="J40" s="552" t="str">
        <f t="shared" si="13"/>
        <v/>
      </c>
      <c r="K40" s="735"/>
    </row>
    <row r="41" spans="1:11" ht="12.75" customHeight="1" x14ac:dyDescent="0.25">
      <c r="A41" s="778" t="s">
        <v>1455</v>
      </c>
      <c r="B41" s="169"/>
      <c r="C41" s="748"/>
      <c r="D41" s="745"/>
      <c r="E41" s="733"/>
      <c r="F41" s="733"/>
      <c r="G41" s="733"/>
      <c r="H41" s="733"/>
      <c r="I41" s="514">
        <f t="shared" si="12"/>
        <v>0</v>
      </c>
      <c r="J41" s="552" t="str">
        <f t="shared" si="13"/>
        <v/>
      </c>
      <c r="K41" s="735"/>
    </row>
    <row r="42" spans="1:11" ht="12.75" customHeight="1" x14ac:dyDescent="0.25">
      <c r="A42" s="778" t="s">
        <v>566</v>
      </c>
      <c r="B42" s="169"/>
      <c r="C42" s="748"/>
      <c r="D42" s="745"/>
      <c r="E42" s="733"/>
      <c r="F42" s="733"/>
      <c r="G42" s="733"/>
      <c r="H42" s="733"/>
      <c r="I42" s="514">
        <f t="shared" si="12"/>
        <v>0</v>
      </c>
      <c r="J42" s="552" t="str">
        <f t="shared" si="13"/>
        <v/>
      </c>
      <c r="K42" s="735"/>
    </row>
    <row r="43" spans="1:11" ht="12.75" customHeight="1" x14ac:dyDescent="0.25">
      <c r="A43" s="778" t="s">
        <v>1442</v>
      </c>
      <c r="B43" s="169"/>
      <c r="C43" s="748"/>
      <c r="D43" s="745">
        <v>33255000</v>
      </c>
      <c r="E43" s="733">
        <v>33255000</v>
      </c>
      <c r="F43" s="733"/>
      <c r="G43" s="733">
        <v>30000000</v>
      </c>
      <c r="H43" s="733">
        <f>E43/12*5</f>
        <v>13856250</v>
      </c>
      <c r="I43" s="514">
        <f t="shared" si="12"/>
        <v>16143750</v>
      </c>
      <c r="J43" s="552">
        <f t="shared" si="13"/>
        <v>1.1650879566982408</v>
      </c>
      <c r="K43" s="735">
        <f>E43</f>
        <v>33255000</v>
      </c>
    </row>
    <row r="44" spans="1:11" ht="12.75" customHeight="1" x14ac:dyDescent="0.25">
      <c r="A44" s="778" t="s">
        <v>1456</v>
      </c>
      <c r="B44" s="169"/>
      <c r="C44" s="748"/>
      <c r="D44" s="745"/>
      <c r="E44" s="733"/>
      <c r="F44" s="733"/>
      <c r="G44" s="733"/>
      <c r="H44" s="733"/>
      <c r="I44" s="514">
        <f t="shared" si="12"/>
        <v>0</v>
      </c>
      <c r="J44" s="552" t="str">
        <f t="shared" si="13"/>
        <v/>
      </c>
      <c r="K44" s="735"/>
    </row>
    <row r="45" spans="1:11" ht="12.75" customHeight="1" x14ac:dyDescent="0.25">
      <c r="A45" s="342" t="str">
        <f>A17</f>
        <v>Provincial Government:</v>
      </c>
      <c r="B45" s="169"/>
      <c r="C45" s="516">
        <f t="shared" ref="C45:H45" si="14">SUM(C46:C56)</f>
        <v>0</v>
      </c>
      <c r="D45" s="475">
        <f t="shared" si="14"/>
        <v>270624156</v>
      </c>
      <c r="E45" s="430">
        <f t="shared" si="14"/>
        <v>270624156</v>
      </c>
      <c r="F45" s="430">
        <f t="shared" si="14"/>
        <v>766275.25</v>
      </c>
      <c r="G45" s="430">
        <f>SUM(G46:G56)</f>
        <v>3754275.25</v>
      </c>
      <c r="H45" s="430">
        <f t="shared" si="14"/>
        <v>112760064.99999999</v>
      </c>
      <c r="I45" s="514">
        <f t="shared" ref="I45:I60" si="15">G45-H45</f>
        <v>-109005789.74999999</v>
      </c>
      <c r="J45" s="552">
        <f>IF(I45=0,"",I45/H45)</f>
        <v>-0.96670563066809156</v>
      </c>
      <c r="K45" s="513">
        <f>SUM(K46:K56)</f>
        <v>270624156</v>
      </c>
    </row>
    <row r="46" spans="1:11" ht="12.75" customHeight="1" x14ac:dyDescent="0.25">
      <c r="A46" s="781" t="s">
        <v>1457</v>
      </c>
      <c r="B46" s="169"/>
      <c r="C46" s="783"/>
      <c r="D46" s="784"/>
      <c r="E46" s="737"/>
      <c r="F46" s="737"/>
      <c r="G46" s="737">
        <v>2500000</v>
      </c>
      <c r="H46" s="737"/>
      <c r="I46" s="514">
        <f t="shared" si="15"/>
        <v>2500000</v>
      </c>
      <c r="J46" s="552" t="e">
        <f t="shared" ref="J46:J55" si="16">IF(I46=0,"",I46/H46)</f>
        <v>#DIV/0!</v>
      </c>
      <c r="K46" s="738"/>
    </row>
    <row r="47" spans="1:11" ht="12.75" customHeight="1" x14ac:dyDescent="0.25">
      <c r="A47" s="785" t="s">
        <v>771</v>
      </c>
      <c r="B47" s="169"/>
      <c r="C47" s="786"/>
      <c r="D47" s="787"/>
      <c r="E47" s="788"/>
      <c r="F47" s="788"/>
      <c r="G47" s="788"/>
      <c r="H47" s="788"/>
      <c r="I47" s="44">
        <f t="shared" si="15"/>
        <v>0</v>
      </c>
      <c r="J47" s="124" t="str">
        <f t="shared" si="16"/>
        <v/>
      </c>
      <c r="K47" s="789"/>
    </row>
    <row r="48" spans="1:11" ht="12.75" customHeight="1" x14ac:dyDescent="0.25">
      <c r="A48" s="785" t="s">
        <v>1458</v>
      </c>
      <c r="B48" s="169"/>
      <c r="C48" s="786"/>
      <c r="D48" s="787"/>
      <c r="E48" s="788"/>
      <c r="F48" s="788"/>
      <c r="G48" s="788"/>
      <c r="H48" s="788"/>
      <c r="I48" s="44">
        <f t="shared" si="15"/>
        <v>0</v>
      </c>
      <c r="J48" s="124" t="str">
        <f t="shared" si="16"/>
        <v/>
      </c>
      <c r="K48" s="789"/>
    </row>
    <row r="49" spans="1:11" ht="12.75" customHeight="1" x14ac:dyDescent="0.25">
      <c r="A49" s="785" t="s">
        <v>1444</v>
      </c>
      <c r="B49" s="169"/>
      <c r="C49" s="786"/>
      <c r="D49" s="733">
        <v>6124156</v>
      </c>
      <c r="E49" s="733">
        <v>6124156</v>
      </c>
      <c r="F49" s="788"/>
      <c r="G49" s="788"/>
      <c r="H49" s="733">
        <f>E49/12*5</f>
        <v>2551731.6666666665</v>
      </c>
      <c r="I49" s="44">
        <f t="shared" si="15"/>
        <v>-2551731.6666666665</v>
      </c>
      <c r="J49" s="124">
        <f t="shared" si="16"/>
        <v>-1</v>
      </c>
      <c r="K49" s="733">
        <f>E49</f>
        <v>6124156</v>
      </c>
    </row>
    <row r="50" spans="1:11" ht="12.75" customHeight="1" x14ac:dyDescent="0.25">
      <c r="A50" s="785" t="s">
        <v>1459</v>
      </c>
      <c r="B50" s="169"/>
      <c r="C50" s="786"/>
      <c r="D50" s="733">
        <v>2500000</v>
      </c>
      <c r="E50" s="733">
        <v>2500000</v>
      </c>
      <c r="F50" s="788"/>
      <c r="G50" s="788"/>
      <c r="H50" s="733">
        <f>E50/12*5</f>
        <v>1041666.6666666667</v>
      </c>
      <c r="I50" s="44">
        <f t="shared" si="15"/>
        <v>-1041666.6666666667</v>
      </c>
      <c r="J50" s="124">
        <f t="shared" si="16"/>
        <v>-1</v>
      </c>
      <c r="K50" s="733">
        <f>E50</f>
        <v>2500000</v>
      </c>
    </row>
    <row r="51" spans="1:11" ht="12.75" customHeight="1" x14ac:dyDescent="0.25">
      <c r="A51" s="785" t="s">
        <v>1439</v>
      </c>
      <c r="B51" s="169"/>
      <c r="C51" s="786"/>
      <c r="D51" s="733">
        <v>774000</v>
      </c>
      <c r="E51" s="733">
        <v>774000</v>
      </c>
      <c r="F51" s="788"/>
      <c r="G51" s="788"/>
      <c r="H51" s="733">
        <f>E51/12*5</f>
        <v>322500</v>
      </c>
      <c r="I51" s="44">
        <f>G56-H51</f>
        <v>165500</v>
      </c>
      <c r="J51" s="124">
        <f t="shared" si="16"/>
        <v>0.51317829457364339</v>
      </c>
      <c r="K51" s="733">
        <f>E51</f>
        <v>774000</v>
      </c>
    </row>
    <row r="52" spans="1:11" ht="12.75" customHeight="1" x14ac:dyDescent="0.25">
      <c r="A52" s="785" t="s">
        <v>1440</v>
      </c>
      <c r="B52" s="169"/>
      <c r="C52" s="786"/>
      <c r="D52" s="733"/>
      <c r="E52" s="733"/>
      <c r="F52" s="788"/>
      <c r="G52" s="788"/>
      <c r="H52" s="733"/>
      <c r="I52" s="44">
        <f t="shared" si="15"/>
        <v>0</v>
      </c>
      <c r="J52" s="124" t="str">
        <f t="shared" si="16"/>
        <v/>
      </c>
      <c r="K52" s="733"/>
    </row>
    <row r="53" spans="1:11" ht="12.75" customHeight="1" x14ac:dyDescent="0.25">
      <c r="A53" s="785" t="s">
        <v>1443</v>
      </c>
      <c r="B53" s="169"/>
      <c r="C53" s="786"/>
      <c r="D53" s="733">
        <v>244264000</v>
      </c>
      <c r="E53" s="733">
        <v>244264000</v>
      </c>
      <c r="F53" s="788"/>
      <c r="G53" s="788"/>
      <c r="H53" s="733">
        <f>E53/12*5</f>
        <v>101776666.66666666</v>
      </c>
      <c r="I53" s="44">
        <f t="shared" si="15"/>
        <v>-101776666.66666666</v>
      </c>
      <c r="J53" s="124">
        <f t="shared" si="16"/>
        <v>-1</v>
      </c>
      <c r="K53" s="733">
        <f>E53</f>
        <v>244264000</v>
      </c>
    </row>
    <row r="54" spans="1:11" ht="12.75" customHeight="1" x14ac:dyDescent="0.25">
      <c r="A54" s="785" t="s">
        <v>1445</v>
      </c>
      <c r="B54" s="169"/>
      <c r="C54" s="786"/>
      <c r="D54" s="733">
        <v>6750000</v>
      </c>
      <c r="E54" s="733">
        <v>6750000</v>
      </c>
      <c r="F54" s="788">
        <v>766275.25</v>
      </c>
      <c r="G54" s="788">
        <v>766275.25</v>
      </c>
      <c r="H54" s="733">
        <f>E54/12*5</f>
        <v>2812500</v>
      </c>
      <c r="I54" s="44">
        <f t="shared" si="15"/>
        <v>-2046224.75</v>
      </c>
      <c r="J54" s="124">
        <f t="shared" si="16"/>
        <v>-0.72754657777777776</v>
      </c>
      <c r="K54" s="733">
        <f>E54</f>
        <v>6750000</v>
      </c>
    </row>
    <row r="55" spans="1:11" ht="12.75" customHeight="1" x14ac:dyDescent="0.25">
      <c r="A55" s="785" t="s">
        <v>623</v>
      </c>
      <c r="B55" s="169"/>
      <c r="C55" s="786"/>
      <c r="D55" s="787"/>
      <c r="E55" s="788"/>
      <c r="F55" s="788"/>
      <c r="G55" s="788"/>
      <c r="H55" s="788"/>
      <c r="I55" s="44">
        <f t="shared" si="15"/>
        <v>0</v>
      </c>
      <c r="J55" s="124" t="str">
        <f t="shared" si="16"/>
        <v/>
      </c>
      <c r="K55" s="733"/>
    </row>
    <row r="56" spans="1:11" ht="12.75" customHeight="1" x14ac:dyDescent="0.25">
      <c r="A56" s="782" t="s">
        <v>1446</v>
      </c>
      <c r="B56" s="169"/>
      <c r="C56" s="748"/>
      <c r="D56" s="745">
        <v>10212000</v>
      </c>
      <c r="E56" s="733">
        <v>10212000</v>
      </c>
      <c r="F56" s="733"/>
      <c r="G56" s="788">
        <v>488000</v>
      </c>
      <c r="H56" s="733">
        <f>E56/12*5</f>
        <v>4255000</v>
      </c>
      <c r="I56" s="44" t="e">
        <f>#REF!-H56</f>
        <v>#REF!</v>
      </c>
      <c r="J56" s="124" t="e">
        <f t="shared" ref="J56:J61" si="17">IF(I56=0,"",I56/H56)</f>
        <v>#REF!</v>
      </c>
      <c r="K56" s="733">
        <f>E56</f>
        <v>10212000</v>
      </c>
    </row>
    <row r="57" spans="1:11" ht="12.75" customHeight="1" x14ac:dyDescent="0.25">
      <c r="A57" s="106" t="str">
        <f>A29</f>
        <v>District Municipality:</v>
      </c>
      <c r="B57" s="169"/>
      <c r="C57" s="516">
        <f t="shared" ref="C57:H57" si="18">SUM(C58:C58)</f>
        <v>0</v>
      </c>
      <c r="D57" s="475">
        <f t="shared" si="18"/>
        <v>0</v>
      </c>
      <c r="E57" s="430">
        <f t="shared" si="18"/>
        <v>0</v>
      </c>
      <c r="F57" s="430">
        <f t="shared" si="18"/>
        <v>0</v>
      </c>
      <c r="G57" s="430">
        <f t="shared" si="18"/>
        <v>0</v>
      </c>
      <c r="H57" s="430">
        <f t="shared" si="18"/>
        <v>0</v>
      </c>
      <c r="I57" s="514">
        <f t="shared" si="15"/>
        <v>0</v>
      </c>
      <c r="J57" s="552" t="str">
        <f t="shared" si="17"/>
        <v/>
      </c>
      <c r="K57" s="513">
        <f>SUM(K58:K58)</f>
        <v>0</v>
      </c>
    </row>
    <row r="58" spans="1:11" ht="12.75" customHeight="1" x14ac:dyDescent="0.25">
      <c r="A58" s="781" t="s">
        <v>567</v>
      </c>
      <c r="B58" s="169"/>
      <c r="C58" s="783"/>
      <c r="D58" s="784"/>
      <c r="E58" s="737"/>
      <c r="F58" s="737"/>
      <c r="G58" s="737"/>
      <c r="H58" s="737"/>
      <c r="I58" s="514">
        <f t="shared" si="15"/>
        <v>0</v>
      </c>
      <c r="J58" s="552" t="str">
        <f t="shared" si="17"/>
        <v/>
      </c>
      <c r="K58" s="738"/>
    </row>
    <row r="59" spans="1:11" ht="12.75" customHeight="1" x14ac:dyDescent="0.25">
      <c r="A59" s="106" t="str">
        <f>A31</f>
        <v>Other grant providers:</v>
      </c>
      <c r="B59" s="169"/>
      <c r="C59" s="516">
        <f t="shared" ref="C59:H59" si="19">SUM(C60:C60)</f>
        <v>0</v>
      </c>
      <c r="D59" s="475">
        <f t="shared" si="19"/>
        <v>0</v>
      </c>
      <c r="E59" s="430">
        <f t="shared" si="19"/>
        <v>0</v>
      </c>
      <c r="F59" s="430">
        <f t="shared" si="19"/>
        <v>0</v>
      </c>
      <c r="G59" s="430">
        <f t="shared" si="19"/>
        <v>0</v>
      </c>
      <c r="H59" s="430">
        <f t="shared" si="19"/>
        <v>0</v>
      </c>
      <c r="I59" s="514">
        <f t="shared" si="15"/>
        <v>0</v>
      </c>
      <c r="J59" s="552" t="str">
        <f t="shared" si="17"/>
        <v/>
      </c>
      <c r="K59" s="513">
        <f>SUM(K60:K60)</f>
        <v>0</v>
      </c>
    </row>
    <row r="60" spans="1:11" ht="12.75" customHeight="1" x14ac:dyDescent="0.25">
      <c r="A60" s="781" t="s">
        <v>567</v>
      </c>
      <c r="B60" s="169"/>
      <c r="C60" s="783"/>
      <c r="D60" s="784"/>
      <c r="E60" s="737"/>
      <c r="F60" s="737"/>
      <c r="G60" s="737"/>
      <c r="H60" s="737"/>
      <c r="I60" s="514">
        <f t="shared" si="15"/>
        <v>0</v>
      </c>
      <c r="J60" s="552" t="str">
        <f t="shared" si="17"/>
        <v/>
      </c>
      <c r="K60" s="738"/>
    </row>
    <row r="61" spans="1:11" ht="12.75" customHeight="1" x14ac:dyDescent="0.25">
      <c r="A61" s="557" t="s">
        <v>64</v>
      </c>
      <c r="B61" s="309">
        <v>5</v>
      </c>
      <c r="C61" s="516">
        <f t="shared" ref="C61:I61" si="20">C36+C45+C57+C59</f>
        <v>0</v>
      </c>
      <c r="D61" s="475">
        <f t="shared" si="20"/>
        <v>525891580.99999988</v>
      </c>
      <c r="E61" s="430">
        <f t="shared" si="20"/>
        <v>525891580.99999988</v>
      </c>
      <c r="F61" s="430">
        <f t="shared" si="20"/>
        <v>766275.25</v>
      </c>
      <c r="G61" s="430">
        <f t="shared" si="20"/>
        <v>116204275.25</v>
      </c>
      <c r="H61" s="430">
        <f t="shared" si="20"/>
        <v>219121492.08333325</v>
      </c>
      <c r="I61" s="430">
        <f t="shared" si="20"/>
        <v>-102917216.83333325</v>
      </c>
      <c r="J61" s="553">
        <f t="shared" si="17"/>
        <v>-0.4696810698705593</v>
      </c>
      <c r="K61" s="513">
        <f>K36+K45+K57+K59</f>
        <v>525891580.99999988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1">C33+C61</f>
        <v>0</v>
      </c>
      <c r="D63" s="305">
        <f t="shared" si="21"/>
        <v>1201374821</v>
      </c>
      <c r="E63" s="306">
        <f t="shared" si="21"/>
        <v>1290372821</v>
      </c>
      <c r="F63" s="306">
        <f t="shared" si="21"/>
        <v>302319632.63</v>
      </c>
      <c r="G63" s="306">
        <f t="shared" si="21"/>
        <v>715454052.32999992</v>
      </c>
      <c r="H63" s="306">
        <f t="shared" si="21"/>
        <v>537655342.08333325</v>
      </c>
      <c r="I63" s="306">
        <f t="shared" si="21"/>
        <v>177798710.24666667</v>
      </c>
      <c r="J63" s="307">
        <f>IF(I63=0,"",I63/H63)</f>
        <v>0.33069272511591447</v>
      </c>
      <c r="K63" s="308">
        <f>K33+K61</f>
        <v>1290372821</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29" activePane="bottomRight" state="frozen"/>
      <selection pane="topRight"/>
      <selection pane="bottomLeft"/>
      <selection pane="bottomRight" activeCell="H66" sqref="H66"/>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"&amp;S71M&amp; " - "&amp;Head57</f>
        <v>KZN225 Msunduzi - Supporting Table SC7(1) Monthly Budget Statement - transfers and grant expenditure  - M05 November</v>
      </c>
      <c r="B1" s="1054"/>
      <c r="C1" s="1054"/>
      <c r="D1" s="1054"/>
      <c r="E1" s="1054"/>
      <c r="F1" s="1054"/>
      <c r="G1" s="1054"/>
      <c r="H1" s="1054"/>
      <c r="I1" s="1054"/>
      <c r="J1" s="1054"/>
      <c r="K1" s="1054"/>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28928149.244999997</v>
      </c>
      <c r="G8" s="50">
        <f t="shared" si="0"/>
        <v>76293082.222000003</v>
      </c>
      <c r="H8" s="50">
        <f t="shared" si="0"/>
        <v>290669406.24999994</v>
      </c>
      <c r="I8" s="50">
        <f t="shared" si="0"/>
        <v>-214376324.028</v>
      </c>
      <c r="J8" s="343">
        <f t="shared" ref="J8:J33" si="1">IF(I8=0,"",I8/H8)</f>
        <v>-0.73752627355497635</v>
      </c>
      <c r="K8" s="194">
        <f>SUM(K9:K16)</f>
        <v>697606575</v>
      </c>
    </row>
    <row r="9" spans="1:11" x14ac:dyDescent="0.25">
      <c r="A9" s="396" t="s">
        <v>986</v>
      </c>
      <c r="B9" s="169"/>
      <c r="C9" s="779"/>
      <c r="D9" s="780">
        <v>593405000</v>
      </c>
      <c r="E9" s="734">
        <v>682403000</v>
      </c>
      <c r="F9" s="734"/>
      <c r="G9" s="734"/>
      <c r="H9" s="733">
        <f>E9/12*5</f>
        <v>284334583.33333331</v>
      </c>
      <c r="I9" s="514">
        <f>G9-H9</f>
        <v>-284334583.33333331</v>
      </c>
      <c r="J9" s="552">
        <f t="shared" si="1"/>
        <v>-1</v>
      </c>
      <c r="K9" s="736">
        <f>E9</f>
        <v>682403000</v>
      </c>
    </row>
    <row r="10" spans="1:11" x14ac:dyDescent="0.25">
      <c r="A10" s="396" t="s">
        <v>988</v>
      </c>
      <c r="B10" s="169"/>
      <c r="C10" s="748"/>
      <c r="D10" s="745">
        <v>1700000</v>
      </c>
      <c r="E10" s="733">
        <v>1700000</v>
      </c>
      <c r="F10" s="733">
        <v>82188.72</v>
      </c>
      <c r="G10" s="733">
        <v>428302.96</v>
      </c>
      <c r="H10" s="733">
        <f>E10/12*5</f>
        <v>708333.33333333326</v>
      </c>
      <c r="I10" s="514">
        <f t="shared" ref="I10:I16" si="2">G10-H10</f>
        <v>-280030.37333333323</v>
      </c>
      <c r="J10" s="552">
        <f t="shared" ref="J10:J16" si="3">IF(I10=0,"",I10/H10)</f>
        <v>-0.39533699764705871</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v>4388000</v>
      </c>
      <c r="F12" s="733">
        <v>4291761.8899999997</v>
      </c>
      <c r="G12" s="733">
        <v>12917267.449999999</v>
      </c>
      <c r="H12" s="733">
        <f>E12/12*5</f>
        <v>1828333.3333333335</v>
      </c>
      <c r="I12" s="514">
        <f t="shared" si="2"/>
        <v>11088934.116666665</v>
      </c>
      <c r="J12" s="552">
        <f t="shared" si="3"/>
        <v>6.0650505651777564</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v>22013925.629999999</v>
      </c>
      <c r="G14" s="733">
        <v>54977124.450000003</v>
      </c>
      <c r="H14" s="733"/>
      <c r="I14" s="514">
        <f t="shared" si="2"/>
        <v>54977124.450000003</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v>9115575</v>
      </c>
      <c r="F16" s="733">
        <v>2540273.0049999999</v>
      </c>
      <c r="G16" s="733">
        <v>7970387.3619999997</v>
      </c>
      <c r="H16" s="733">
        <f>E16/12*5</f>
        <v>3798156.25</v>
      </c>
      <c r="I16" s="514">
        <f t="shared" si="2"/>
        <v>4172231.1119999997</v>
      </c>
      <c r="J16" s="552">
        <f t="shared" si="3"/>
        <v>1.0984885395380981</v>
      </c>
      <c r="K16" s="736">
        <f>E16</f>
        <v>9115575</v>
      </c>
    </row>
    <row r="17" spans="1:11" ht="12.75" customHeight="1" x14ac:dyDescent="0.25">
      <c r="A17" s="397" t="str">
        <f>'SC6'!A17</f>
        <v>Provincial Government:</v>
      </c>
      <c r="B17" s="169"/>
      <c r="C17" s="516">
        <f t="shared" ref="C17:I17" si="4">SUM(C18:C28)</f>
        <v>0</v>
      </c>
      <c r="D17" s="475">
        <f t="shared" si="4"/>
        <v>66874665</v>
      </c>
      <c r="E17" s="430">
        <f t="shared" si="4"/>
        <v>66874665</v>
      </c>
      <c r="F17" s="430">
        <f t="shared" si="4"/>
        <v>10407372.859999999</v>
      </c>
      <c r="G17" s="430">
        <f t="shared" si="4"/>
        <v>34549624.159999996</v>
      </c>
      <c r="H17" s="430">
        <f t="shared" si="4"/>
        <v>27864443.749999996</v>
      </c>
      <c r="I17" s="430">
        <f t="shared" si="4"/>
        <v>6685180.4099999974</v>
      </c>
      <c r="J17" s="553">
        <f t="shared" si="1"/>
        <v>0.23991795673294208</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c r="G19" s="733"/>
      <c r="H19" s="733"/>
      <c r="I19" s="44">
        <f t="shared" si="5"/>
        <v>0</v>
      </c>
      <c r="J19" s="124" t="str">
        <f t="shared" si="1"/>
        <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E21/12*5</f>
        <v>1501250</v>
      </c>
      <c r="I21" s="44">
        <f t="shared" si="5"/>
        <v>-1501250</v>
      </c>
      <c r="J21" s="124">
        <f t="shared" si="1"/>
        <v>-1</v>
      </c>
      <c r="K21" s="735">
        <f>E21</f>
        <v>3603000</v>
      </c>
    </row>
    <row r="22" spans="1:11" ht="12.75" customHeight="1" x14ac:dyDescent="0.25">
      <c r="A22" s="396" t="s">
        <v>1435</v>
      </c>
      <c r="B22" s="169"/>
      <c r="C22" s="748"/>
      <c r="D22" s="745">
        <v>4264000</v>
      </c>
      <c r="E22" s="733">
        <v>4264000</v>
      </c>
      <c r="F22" s="733"/>
      <c r="G22" s="733"/>
      <c r="H22" s="733">
        <f>E22/12*5</f>
        <v>1776666.6666666665</v>
      </c>
      <c r="I22" s="44">
        <f t="shared" si="5"/>
        <v>-1776666.6666666665</v>
      </c>
      <c r="J22" s="124">
        <f t="shared" si="1"/>
        <v>-1</v>
      </c>
      <c r="K22" s="735">
        <f>E22</f>
        <v>4264000</v>
      </c>
    </row>
    <row r="23" spans="1:11" ht="12.75" customHeight="1" x14ac:dyDescent="0.25">
      <c r="A23" s="396" t="s">
        <v>1436</v>
      </c>
      <c r="B23" s="169"/>
      <c r="C23" s="748"/>
      <c r="D23" s="745">
        <v>24079242</v>
      </c>
      <c r="E23" s="733">
        <v>24079242</v>
      </c>
      <c r="F23" s="733"/>
      <c r="G23" s="733"/>
      <c r="H23" s="733">
        <f>E23/12*5</f>
        <v>10033017.5</v>
      </c>
      <c r="I23" s="44">
        <f t="shared" si="5"/>
        <v>-10033017.5</v>
      </c>
      <c r="J23" s="124">
        <f t="shared" si="1"/>
        <v>-1</v>
      </c>
      <c r="K23" s="735">
        <f>E23</f>
        <v>24079242</v>
      </c>
    </row>
    <row r="24" spans="1:11" ht="12.75" customHeight="1" x14ac:dyDescent="0.25">
      <c r="A24" s="396" t="s">
        <v>1437</v>
      </c>
      <c r="B24" s="169"/>
      <c r="C24" s="748"/>
      <c r="D24" s="745">
        <v>22740423</v>
      </c>
      <c r="E24" s="733">
        <v>22740423</v>
      </c>
      <c r="F24" s="733">
        <v>9026761.4499999993</v>
      </c>
      <c r="G24" s="733">
        <v>26485713.829999998</v>
      </c>
      <c r="H24" s="733">
        <f>E24/12*5</f>
        <v>9475176.25</v>
      </c>
      <c r="I24" s="44">
        <f t="shared" si="5"/>
        <v>17010537.579999998</v>
      </c>
      <c r="J24" s="124">
        <f t="shared" si="1"/>
        <v>1.7952740013675206</v>
      </c>
      <c r="K24" s="735">
        <f>E24</f>
        <v>22740423</v>
      </c>
    </row>
    <row r="25" spans="1:11" ht="12.75" customHeight="1" x14ac:dyDescent="0.25">
      <c r="A25" s="396" t="s">
        <v>1451</v>
      </c>
      <c r="B25" s="169"/>
      <c r="C25" s="748"/>
      <c r="D25" s="745"/>
      <c r="E25" s="733"/>
      <c r="F25" s="733">
        <v>1380611.41</v>
      </c>
      <c r="G25" s="733">
        <v>9259077.5299999993</v>
      </c>
      <c r="H25" s="733"/>
      <c r="I25" s="44">
        <f t="shared" si="5"/>
        <v>9259077.5299999993</v>
      </c>
      <c r="J25" s="124" t="e">
        <f t="shared" si="1"/>
        <v>#DIV/0!</v>
      </c>
      <c r="K25" s="735"/>
    </row>
    <row r="26" spans="1:11" ht="12.75" customHeight="1" x14ac:dyDescent="0.25">
      <c r="A26" s="396" t="s">
        <v>1438</v>
      </c>
      <c r="B26" s="169"/>
      <c r="C26" s="748"/>
      <c r="D26" s="745">
        <v>10200000</v>
      </c>
      <c r="E26" s="733">
        <v>10200000</v>
      </c>
      <c r="F26" s="733"/>
      <c r="G26" s="733"/>
      <c r="H26" s="733">
        <f>E26/12*5</f>
        <v>4250000</v>
      </c>
      <c r="I26" s="44">
        <f t="shared" si="5"/>
        <v>-4250000</v>
      </c>
      <c r="J26" s="124">
        <f t="shared" si="1"/>
        <v>-1</v>
      </c>
      <c r="K26" s="735">
        <f>E26</f>
        <v>10200000</v>
      </c>
    </row>
    <row r="27" spans="1:11" ht="12.75" customHeight="1" x14ac:dyDescent="0.25">
      <c r="A27" s="396" t="s">
        <v>1439</v>
      </c>
      <c r="B27" s="169"/>
      <c r="C27" s="748"/>
      <c r="D27" s="745">
        <v>488000</v>
      </c>
      <c r="E27" s="733">
        <v>488000</v>
      </c>
      <c r="F27" s="733"/>
      <c r="G27" s="733"/>
      <c r="H27" s="733">
        <f>E27/12*5</f>
        <v>203333.33333333331</v>
      </c>
      <c r="I27" s="44">
        <f t="shared" si="5"/>
        <v>-203333.33333333331</v>
      </c>
      <c r="J27" s="124">
        <f t="shared" si="1"/>
        <v>-1</v>
      </c>
      <c r="K27" s="735">
        <f>E27</f>
        <v>488000</v>
      </c>
    </row>
    <row r="28" spans="1:11" ht="12.75" customHeight="1" x14ac:dyDescent="0.25">
      <c r="A28" s="396" t="s">
        <v>1440</v>
      </c>
      <c r="B28" s="169"/>
      <c r="C28" s="748"/>
      <c r="D28" s="745">
        <v>1500000</v>
      </c>
      <c r="E28" s="733">
        <v>1500000</v>
      </c>
      <c r="F28" s="733"/>
      <c r="G28" s="733">
        <v>-1195167.2</v>
      </c>
      <c r="H28" s="733">
        <f>E28/12*5</f>
        <v>625000</v>
      </c>
      <c r="I28" s="44">
        <f t="shared" si="5"/>
        <v>-1820167.2</v>
      </c>
      <c r="J28" s="124">
        <f t="shared" si="1"/>
        <v>-2.9122675199999999</v>
      </c>
      <c r="K28" s="735">
        <f>E28</f>
        <v>1500000</v>
      </c>
    </row>
    <row r="29" spans="1:11" ht="12.75" customHeight="1" x14ac:dyDescent="0.25">
      <c r="A29" s="397" t="str">
        <f>'SC6'!A29</f>
        <v>District Municipality:</v>
      </c>
      <c r="B29" s="169"/>
      <c r="C29" s="516">
        <f t="shared" ref="C29:H29" si="6">SUM(C30:C30)</f>
        <v>0</v>
      </c>
      <c r="D29" s="475">
        <f t="shared" si="6"/>
        <v>0</v>
      </c>
      <c r="E29" s="430">
        <f t="shared" si="6"/>
        <v>0</v>
      </c>
      <c r="F29" s="430">
        <f t="shared" si="6"/>
        <v>0</v>
      </c>
      <c r="G29" s="430">
        <f t="shared" si="6"/>
        <v>0</v>
      </c>
      <c r="H29" s="430">
        <f t="shared" si="6"/>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7">SUM(C32:C32)</f>
        <v>0</v>
      </c>
      <c r="D31" s="475">
        <f t="shared" si="7"/>
        <v>0</v>
      </c>
      <c r="E31" s="430">
        <f t="shared" si="7"/>
        <v>0</v>
      </c>
      <c r="F31" s="430">
        <f t="shared" si="7"/>
        <v>0</v>
      </c>
      <c r="G31" s="430">
        <f t="shared" si="7"/>
        <v>0</v>
      </c>
      <c r="H31" s="430">
        <f t="shared" si="7"/>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8">C8+C17+C29+C31</f>
        <v>0</v>
      </c>
      <c r="D33" s="74">
        <f t="shared" si="8"/>
        <v>675483240</v>
      </c>
      <c r="E33" s="73">
        <f t="shared" si="8"/>
        <v>764481240</v>
      </c>
      <c r="F33" s="73">
        <f t="shared" si="8"/>
        <v>39335522.104999997</v>
      </c>
      <c r="G33" s="73">
        <f t="shared" si="8"/>
        <v>110842706.382</v>
      </c>
      <c r="H33" s="73">
        <f t="shared" si="8"/>
        <v>318533849.99999994</v>
      </c>
      <c r="I33" s="73">
        <f t="shared" si="8"/>
        <v>-207691143.618</v>
      </c>
      <c r="J33" s="304">
        <f t="shared" si="1"/>
        <v>-0.65202220617369244</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9">SUM(C37:C44)</f>
        <v>0</v>
      </c>
      <c r="D36" s="46">
        <f t="shared" si="9"/>
        <v>255267424.99999985</v>
      </c>
      <c r="E36" s="44">
        <f t="shared" si="9"/>
        <v>255267424.99999985</v>
      </c>
      <c r="F36" s="44">
        <f t="shared" si="9"/>
        <v>22862457.045000002</v>
      </c>
      <c r="G36" s="44">
        <f t="shared" si="9"/>
        <v>71733486.258000001</v>
      </c>
      <c r="H36" s="44">
        <f t="shared" si="9"/>
        <v>106361427.08333327</v>
      </c>
      <c r="I36" s="44">
        <f t="shared" si="9"/>
        <v>-34627940.825333267</v>
      </c>
      <c r="J36" s="343">
        <f>IF(I36=0,"",I36/H36)</f>
        <v>-0.32556859920845715</v>
      </c>
      <c r="K36" s="144">
        <f t="shared" si="9"/>
        <v>255267424.99999985</v>
      </c>
    </row>
    <row r="37" spans="1:11" ht="12.75" customHeight="1" x14ac:dyDescent="0.25">
      <c r="A37" s="396" t="s">
        <v>1441</v>
      </c>
      <c r="B37" s="169"/>
      <c r="C37" s="779"/>
      <c r="D37" s="780">
        <v>187012424.99999985</v>
      </c>
      <c r="E37" s="734">
        <v>187012424.99999985</v>
      </c>
      <c r="F37" s="734">
        <v>22862457.045000002</v>
      </c>
      <c r="G37" s="734">
        <v>71733486.258000001</v>
      </c>
      <c r="H37" s="734">
        <f>E37/12*5</f>
        <v>77921843.74999994</v>
      </c>
      <c r="I37" s="514">
        <f>G37-H37</f>
        <v>-6188357.4919999391</v>
      </c>
      <c r="J37" s="552">
        <f>IF(I37=0,"",I37/H37)</f>
        <v>-7.9417493146778165E-2</v>
      </c>
      <c r="K37" s="736">
        <f>E37</f>
        <v>187012424.99999985</v>
      </c>
    </row>
    <row r="38" spans="1:11" ht="12" customHeight="1" x14ac:dyDescent="0.25">
      <c r="A38" s="396" t="s">
        <v>1453</v>
      </c>
      <c r="B38" s="169"/>
      <c r="C38" s="748"/>
      <c r="D38" s="745"/>
      <c r="E38" s="733"/>
      <c r="F38" s="733"/>
      <c r="G38" s="733"/>
      <c r="H38" s="733"/>
      <c r="I38" s="44">
        <f t="shared" ref="I38:I44" si="10">G38-H38</f>
        <v>0</v>
      </c>
      <c r="J38" s="124" t="str">
        <f t="shared" ref="J38:J44" si="11">IF(I38=0,"",I38/H38)</f>
        <v/>
      </c>
      <c r="K38" s="736"/>
    </row>
    <row r="39" spans="1:11" ht="12" customHeight="1" x14ac:dyDescent="0.25">
      <c r="A39" s="396" t="s">
        <v>1001</v>
      </c>
      <c r="B39" s="169"/>
      <c r="C39" s="748"/>
      <c r="D39" s="745">
        <v>35000000</v>
      </c>
      <c r="E39" s="733">
        <v>35000000</v>
      </c>
      <c r="F39" s="733"/>
      <c r="G39" s="733"/>
      <c r="H39" s="733">
        <f>E39/12*5</f>
        <v>14583333.333333332</v>
      </c>
      <c r="I39" s="44">
        <f t="shared" si="10"/>
        <v>-14583333.333333332</v>
      </c>
      <c r="J39" s="124">
        <f t="shared" si="11"/>
        <v>-1</v>
      </c>
      <c r="K39" s="736">
        <f>E39</f>
        <v>35000000</v>
      </c>
    </row>
    <row r="40" spans="1:11" ht="12" customHeight="1" x14ac:dyDescent="0.25">
      <c r="A40" s="396" t="s">
        <v>1454</v>
      </c>
      <c r="B40" s="169"/>
      <c r="C40" s="748"/>
      <c r="D40" s="745"/>
      <c r="E40" s="733"/>
      <c r="F40" s="733"/>
      <c r="G40" s="733"/>
      <c r="H40" s="733"/>
      <c r="I40" s="44">
        <f t="shared" si="10"/>
        <v>0</v>
      </c>
      <c r="J40" s="124" t="str">
        <f t="shared" si="11"/>
        <v/>
      </c>
      <c r="K40" s="736"/>
    </row>
    <row r="41" spans="1:11" ht="12.75" customHeight="1" x14ac:dyDescent="0.25">
      <c r="A41" s="396" t="s">
        <v>1455</v>
      </c>
      <c r="B41" s="169"/>
      <c r="C41" s="748"/>
      <c r="D41" s="745"/>
      <c r="E41" s="733"/>
      <c r="F41" s="733"/>
      <c r="G41" s="733"/>
      <c r="H41" s="733"/>
      <c r="I41" s="44">
        <f t="shared" si="10"/>
        <v>0</v>
      </c>
      <c r="J41" s="124" t="str">
        <f t="shared" si="11"/>
        <v/>
      </c>
      <c r="K41" s="736"/>
    </row>
    <row r="42" spans="1:11" ht="12.75" customHeight="1" x14ac:dyDescent="0.25">
      <c r="A42" s="396" t="s">
        <v>566</v>
      </c>
      <c r="B42" s="169"/>
      <c r="C42" s="748"/>
      <c r="D42" s="745"/>
      <c r="E42" s="733"/>
      <c r="F42" s="733"/>
      <c r="G42" s="733"/>
      <c r="H42" s="733"/>
      <c r="I42" s="44">
        <f t="shared" si="10"/>
        <v>0</v>
      </c>
      <c r="J42" s="124" t="str">
        <f t="shared" si="11"/>
        <v/>
      </c>
      <c r="K42" s="736"/>
    </row>
    <row r="43" spans="1:11" ht="12.75" customHeight="1" x14ac:dyDescent="0.25">
      <c r="A43" s="396" t="s">
        <v>1442</v>
      </c>
      <c r="B43" s="169"/>
      <c r="C43" s="748"/>
      <c r="D43" s="745">
        <v>33255000</v>
      </c>
      <c r="E43" s="733">
        <v>33255000</v>
      </c>
      <c r="F43" s="733"/>
      <c r="G43" s="733"/>
      <c r="H43" s="733">
        <f>E43/12*5</f>
        <v>13856250</v>
      </c>
      <c r="I43" s="44">
        <f t="shared" si="10"/>
        <v>-13856250</v>
      </c>
      <c r="J43" s="124">
        <f t="shared" si="11"/>
        <v>-1</v>
      </c>
      <c r="K43" s="736">
        <f>E43</f>
        <v>33255000</v>
      </c>
    </row>
    <row r="44" spans="1:11" ht="12.75" customHeight="1" x14ac:dyDescent="0.25">
      <c r="A44" s="396" t="s">
        <v>1456</v>
      </c>
      <c r="B44" s="169"/>
      <c r="C44" s="748"/>
      <c r="D44" s="745"/>
      <c r="E44" s="733"/>
      <c r="F44" s="733"/>
      <c r="G44" s="733"/>
      <c r="H44" s="733"/>
      <c r="I44" s="44">
        <f t="shared" si="10"/>
        <v>0</v>
      </c>
      <c r="J44" s="124" t="str">
        <f t="shared" si="11"/>
        <v/>
      </c>
      <c r="K44" s="736"/>
    </row>
    <row r="45" spans="1:11" ht="12.75" customHeight="1" x14ac:dyDescent="0.25">
      <c r="A45" s="397" t="str">
        <f>'SC6'!A45</f>
        <v>Provincial Government:</v>
      </c>
      <c r="B45" s="169"/>
      <c r="C45" s="516">
        <f t="shared" ref="C45:H45" si="12">SUM(C46:C57)</f>
        <v>0</v>
      </c>
      <c r="D45" s="475">
        <f t="shared" si="12"/>
        <v>270624156</v>
      </c>
      <c r="E45" s="430">
        <f t="shared" si="12"/>
        <v>270624156</v>
      </c>
      <c r="F45" s="430">
        <f t="shared" si="12"/>
        <v>3926684.75</v>
      </c>
      <c r="G45" s="430">
        <f t="shared" si="12"/>
        <v>14251911.709999999</v>
      </c>
      <c r="H45" s="430">
        <f t="shared" si="12"/>
        <v>112760064.99999999</v>
      </c>
      <c r="I45" s="514">
        <f>G45-H45</f>
        <v>-98508153.289999992</v>
      </c>
      <c r="J45" s="552">
        <f>IF(I45=0,"",I45/H45)</f>
        <v>-0.87360851813982199</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v>1050024.72</v>
      </c>
      <c r="G47" s="788">
        <v>1050024.72</v>
      </c>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88">
        <v>6124156</v>
      </c>
      <c r="F50" s="788"/>
      <c r="G50" s="788"/>
      <c r="H50" s="733">
        <f>E50/12*5</f>
        <v>2551731.6666666665</v>
      </c>
      <c r="I50" s="44"/>
      <c r="J50" s="124"/>
      <c r="K50" s="733">
        <f>E50</f>
        <v>6124156</v>
      </c>
    </row>
    <row r="51" spans="1:11" ht="12.75" customHeight="1" x14ac:dyDescent="0.25">
      <c r="A51" s="397" t="s">
        <v>1459</v>
      </c>
      <c r="B51" s="169"/>
      <c r="C51" s="786"/>
      <c r="D51" s="733">
        <v>2500000</v>
      </c>
      <c r="E51" s="788">
        <v>2500000</v>
      </c>
      <c r="F51" s="788"/>
      <c r="G51" s="788"/>
      <c r="H51" s="733">
        <f>E51/12*5</f>
        <v>1041666.6666666667</v>
      </c>
      <c r="I51" s="44"/>
      <c r="J51" s="124"/>
      <c r="K51" s="733">
        <f>E51</f>
        <v>2500000</v>
      </c>
    </row>
    <row r="52" spans="1:11" ht="12.75" customHeight="1" x14ac:dyDescent="0.25">
      <c r="A52" s="397" t="s">
        <v>1439</v>
      </c>
      <c r="B52" s="169"/>
      <c r="C52" s="786"/>
      <c r="D52" s="733">
        <v>774000</v>
      </c>
      <c r="E52" s="788">
        <v>774000</v>
      </c>
      <c r="F52" s="788"/>
      <c r="G52" s="788"/>
      <c r="H52" s="733">
        <f>E52/12*5</f>
        <v>322500</v>
      </c>
      <c r="I52" s="44"/>
      <c r="J52" s="124"/>
      <c r="K52" s="733">
        <f>E52</f>
        <v>774000</v>
      </c>
    </row>
    <row r="53" spans="1:11" ht="12.75" customHeight="1" x14ac:dyDescent="0.25">
      <c r="A53" s="397" t="s">
        <v>1440</v>
      </c>
      <c r="B53" s="169"/>
      <c r="C53" s="786"/>
      <c r="D53" s="787"/>
      <c r="E53" s="788"/>
      <c r="F53" s="788"/>
      <c r="G53" s="788"/>
      <c r="H53" s="788"/>
      <c r="I53" s="44"/>
      <c r="J53" s="124"/>
      <c r="K53" s="789"/>
    </row>
    <row r="54" spans="1:11" ht="12.75" customHeight="1" x14ac:dyDescent="0.25">
      <c r="A54" s="397" t="s">
        <v>1443</v>
      </c>
      <c r="B54" s="169"/>
      <c r="C54" s="786"/>
      <c r="D54" s="733">
        <v>244264000</v>
      </c>
      <c r="E54" s="788">
        <v>244264000</v>
      </c>
      <c r="F54" s="788"/>
      <c r="G54" s="788"/>
      <c r="H54" s="733">
        <f>E54/12*5</f>
        <v>101776666.66666666</v>
      </c>
      <c r="I54" s="44"/>
      <c r="J54" s="124"/>
      <c r="K54" s="733">
        <f>E54</f>
        <v>244264000</v>
      </c>
    </row>
    <row r="55" spans="1:11" ht="12.75" customHeight="1" x14ac:dyDescent="0.25">
      <c r="A55" s="397" t="s">
        <v>1445</v>
      </c>
      <c r="B55" s="169"/>
      <c r="C55" s="786"/>
      <c r="D55" s="733">
        <v>6750000</v>
      </c>
      <c r="E55" s="788">
        <v>6750000</v>
      </c>
      <c r="F55" s="733">
        <v>2876660.03</v>
      </c>
      <c r="G55" s="733">
        <v>13149100.619999999</v>
      </c>
      <c r="H55" s="733">
        <f>E55/12*5</f>
        <v>2812500</v>
      </c>
      <c r="I55" s="44"/>
      <c r="J55" s="124"/>
      <c r="K55" s="733">
        <f>E55</f>
        <v>6750000</v>
      </c>
    </row>
    <row r="56" spans="1:11" ht="12.75" customHeight="1" x14ac:dyDescent="0.25">
      <c r="A56" s="397" t="s">
        <v>623</v>
      </c>
      <c r="B56" s="169"/>
      <c r="C56" s="786"/>
      <c r="D56" s="787"/>
      <c r="E56" s="788"/>
      <c r="F56" s="788"/>
      <c r="G56" s="788"/>
      <c r="H56" s="788"/>
      <c r="I56" s="44"/>
      <c r="J56" s="124"/>
      <c r="K56" s="789"/>
    </row>
    <row r="57" spans="1:11" ht="12.75" customHeight="1" x14ac:dyDescent="0.25">
      <c r="A57" s="396" t="s">
        <v>1446</v>
      </c>
      <c r="B57" s="169"/>
      <c r="C57" s="748"/>
      <c r="D57" s="745">
        <v>10212000</v>
      </c>
      <c r="E57" s="733">
        <v>10212000</v>
      </c>
      <c r="F57" s="733"/>
      <c r="G57" s="733">
        <v>52786.37</v>
      </c>
      <c r="H57" s="733">
        <f>E57/12*5</f>
        <v>4255000</v>
      </c>
      <c r="I57" s="44">
        <f>G57-H57</f>
        <v>-4202213.63</v>
      </c>
      <c r="J57" s="124">
        <f t="shared" ref="J57:J62" si="13">IF(I57=0,"",I57/H57)</f>
        <v>-0.98759427262044652</v>
      </c>
      <c r="K57" s="735">
        <f>E57</f>
        <v>10212000</v>
      </c>
    </row>
    <row r="58" spans="1:11" ht="12.75" customHeight="1" x14ac:dyDescent="0.25">
      <c r="A58" s="397" t="str">
        <f>'SC6'!A57</f>
        <v>District Municipality:</v>
      </c>
      <c r="B58" s="169"/>
      <c r="C58" s="516">
        <f t="shared" ref="C58:H58" si="14">SUM(C59:C59)</f>
        <v>0</v>
      </c>
      <c r="D58" s="475">
        <f t="shared" si="14"/>
        <v>0</v>
      </c>
      <c r="E58" s="430">
        <f t="shared" si="14"/>
        <v>0</v>
      </c>
      <c r="F58" s="430">
        <f t="shared" si="14"/>
        <v>0</v>
      </c>
      <c r="G58" s="430">
        <f t="shared" si="14"/>
        <v>0</v>
      </c>
      <c r="H58" s="430">
        <f t="shared" si="14"/>
        <v>0</v>
      </c>
      <c r="I58" s="514">
        <f>G58-H58</f>
        <v>0</v>
      </c>
      <c r="J58" s="552" t="str">
        <f t="shared" si="13"/>
        <v/>
      </c>
      <c r="K58" s="513">
        <f>SUM(K59:K59)</f>
        <v>0</v>
      </c>
    </row>
    <row r="59" spans="1:11" ht="12.75" customHeight="1" x14ac:dyDescent="0.25">
      <c r="A59" s="397"/>
      <c r="B59" s="169"/>
      <c r="C59" s="783"/>
      <c r="D59" s="784"/>
      <c r="E59" s="737"/>
      <c r="F59" s="737"/>
      <c r="G59" s="737"/>
      <c r="H59" s="737"/>
      <c r="I59" s="514">
        <f>G59-H59</f>
        <v>0</v>
      </c>
      <c r="J59" s="552" t="str">
        <f t="shared" si="13"/>
        <v/>
      </c>
      <c r="K59" s="738"/>
    </row>
    <row r="60" spans="1:11" ht="12.75" customHeight="1" x14ac:dyDescent="0.25">
      <c r="A60" s="397" t="str">
        <f>'SC6'!A59</f>
        <v>Other grant providers:</v>
      </c>
      <c r="B60" s="169"/>
      <c r="C60" s="516">
        <f t="shared" ref="C60:H60" si="15">SUM(C61:C61)</f>
        <v>0</v>
      </c>
      <c r="D60" s="475">
        <f t="shared" si="15"/>
        <v>0</v>
      </c>
      <c r="E60" s="430">
        <f t="shared" si="15"/>
        <v>0</v>
      </c>
      <c r="F60" s="430">
        <f t="shared" si="15"/>
        <v>0</v>
      </c>
      <c r="G60" s="430">
        <f t="shared" si="15"/>
        <v>0</v>
      </c>
      <c r="H60" s="430">
        <f t="shared" si="15"/>
        <v>0</v>
      </c>
      <c r="I60" s="514">
        <f>G60-H60</f>
        <v>0</v>
      </c>
      <c r="J60" s="552" t="str">
        <f t="shared" si="13"/>
        <v/>
      </c>
      <c r="K60" s="513">
        <f>SUM(K61:K61)</f>
        <v>0</v>
      </c>
    </row>
    <row r="61" spans="1:11" ht="12.75" customHeight="1" x14ac:dyDescent="0.25">
      <c r="A61" s="397"/>
      <c r="B61" s="169"/>
      <c r="C61" s="783"/>
      <c r="D61" s="784"/>
      <c r="E61" s="737"/>
      <c r="F61" s="737"/>
      <c r="G61" s="737"/>
      <c r="H61" s="737"/>
      <c r="I61" s="514">
        <f>G61-H61</f>
        <v>0</v>
      </c>
      <c r="J61" s="552" t="str">
        <f t="shared" si="13"/>
        <v/>
      </c>
      <c r="K61" s="738"/>
    </row>
    <row r="62" spans="1:11" ht="12.75" customHeight="1" x14ac:dyDescent="0.25">
      <c r="A62" s="557" t="s">
        <v>60</v>
      </c>
      <c r="B62" s="233"/>
      <c r="C62" s="243">
        <f t="shared" ref="C62:I62" si="16">C36+C45+C58+C60</f>
        <v>0</v>
      </c>
      <c r="D62" s="74">
        <f t="shared" si="16"/>
        <v>525891580.99999988</v>
      </c>
      <c r="E62" s="73">
        <f t="shared" si="16"/>
        <v>525891580.99999988</v>
      </c>
      <c r="F62" s="73">
        <f t="shared" si="16"/>
        <v>26789141.795000002</v>
      </c>
      <c r="G62" s="73">
        <f t="shared" si="16"/>
        <v>85985397.967999995</v>
      </c>
      <c r="H62" s="73">
        <f t="shared" si="16"/>
        <v>219121492.08333325</v>
      </c>
      <c r="I62" s="73">
        <f t="shared" si="16"/>
        <v>-133136094.11533326</v>
      </c>
      <c r="J62" s="304">
        <f t="shared" si="13"/>
        <v>-0.60759030458181063</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17">C33+C62</f>
        <v>0</v>
      </c>
      <c r="D64" s="56">
        <f t="shared" si="17"/>
        <v>1201374821</v>
      </c>
      <c r="E64" s="55">
        <f t="shared" si="17"/>
        <v>1290372821</v>
      </c>
      <c r="F64" s="55">
        <f t="shared" si="17"/>
        <v>66124663.899999999</v>
      </c>
      <c r="G64" s="55">
        <f t="shared" si="17"/>
        <v>196828104.34999999</v>
      </c>
      <c r="H64" s="55">
        <f t="shared" si="17"/>
        <v>537655342.08333325</v>
      </c>
      <c r="I64" s="55">
        <f t="shared" si="17"/>
        <v>-340827237.73333323</v>
      </c>
      <c r="J64" s="290">
        <f>IF(I64=0,"",I64/H64)</f>
        <v>-0.6339139799349508</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G30" sqref="G30"/>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4" t="str">
        <f>muni&amp; " - "&amp;S71T&amp; " - "&amp;Head57</f>
        <v>KZN225 Msunduzi - Supporting Table SC7(2) Monthly Budget Statement - Expenditure against approved rollovers - M05 November</v>
      </c>
      <c r="B1" s="1054"/>
      <c r="C1" s="1054"/>
      <c r="D1" s="1054"/>
      <c r="E1" s="1054"/>
      <c r="F1" s="1054"/>
      <c r="G1" s="1054"/>
    </row>
    <row r="2" spans="1:7" ht="21.75" customHeight="1" x14ac:dyDescent="0.25">
      <c r="A2" s="1043" t="str">
        <f>desc</f>
        <v>Description</v>
      </c>
      <c r="B2" s="1036" t="str">
        <f>head27</f>
        <v>Ref</v>
      </c>
      <c r="C2" s="1038" t="str">
        <f>Head2</f>
        <v>Budget Year 2020/21</v>
      </c>
      <c r="D2" s="1039"/>
      <c r="E2" s="1039"/>
      <c r="F2" s="1039"/>
      <c r="G2" s="1040"/>
    </row>
    <row r="3" spans="1:7" ht="39.75" customHeight="1" x14ac:dyDescent="0.25">
      <c r="A3" s="1044"/>
      <c r="B3" s="1047"/>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t="e">
        <f>'SC6'!#REF!</f>
        <v>#REF!</v>
      </c>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e">
        <f>'SC6'!#REF!</f>
        <v>#REF!</v>
      </c>
      <c r="B17" s="169"/>
      <c r="C17" s="780"/>
      <c r="D17" s="734"/>
      <c r="E17" s="734"/>
      <c r="F17" s="514">
        <f>C17-E17</f>
        <v>0</v>
      </c>
      <c r="G17" s="907" t="str">
        <f t="shared" si="0"/>
        <v/>
      </c>
    </row>
    <row r="18" spans="1:7" ht="12.75" customHeight="1" x14ac:dyDescent="0.25">
      <c r="A18" s="396" t="e">
        <f>'SC6'!#REF!</f>
        <v>#REF!</v>
      </c>
      <c r="B18" s="169"/>
      <c r="C18" s="745"/>
      <c r="D18" s="733"/>
      <c r="E18" s="733"/>
      <c r="F18" s="44">
        <f>C18-E18</f>
        <v>0</v>
      </c>
      <c r="G18" s="276" t="str">
        <f t="shared" si="0"/>
        <v/>
      </c>
    </row>
    <row r="19" spans="1:7" ht="12.75" customHeight="1" x14ac:dyDescent="0.25">
      <c r="A19" s="396" t="e">
        <f>'SC6'!#REF!</f>
        <v>#REF!</v>
      </c>
      <c r="B19" s="169"/>
      <c r="C19" s="745"/>
      <c r="D19" s="733"/>
      <c r="E19" s="733"/>
      <c r="F19" s="44">
        <f>C19-E19</f>
        <v>0</v>
      </c>
      <c r="G19" s="276" t="str">
        <f t="shared" si="0"/>
        <v/>
      </c>
    </row>
    <row r="20" spans="1:7" ht="12.75" customHeight="1" x14ac:dyDescent="0.25">
      <c r="A20" s="396" t="e">
        <f>'SC6'!#REF!</f>
        <v>#REF!</v>
      </c>
      <c r="B20" s="169"/>
      <c r="C20" s="745"/>
      <c r="D20" s="733"/>
      <c r="E20" s="733"/>
      <c r="F20" s="44">
        <f>C20-E20</f>
        <v>0</v>
      </c>
      <c r="G20" s="276" t="str">
        <f t="shared" si="0"/>
        <v/>
      </c>
    </row>
    <row r="21" spans="1:7" ht="12.75" customHeight="1" x14ac:dyDescent="0.25">
      <c r="A21" s="396" t="e">
        <f>'SC6'!#REF!</f>
        <v>#REF!</v>
      </c>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c r="B39" s="169"/>
      <c r="C39" s="784"/>
      <c r="D39" s="737"/>
      <c r="E39" s="737"/>
      <c r="F39" s="514">
        <f>C39-E39</f>
        <v>0</v>
      </c>
      <c r="G39" s="907" t="str">
        <f t="shared" si="0"/>
        <v/>
      </c>
    </row>
    <row r="40" spans="1:7" ht="12.75" customHeight="1" x14ac:dyDescent="0.25">
      <c r="A40" s="396" t="str">
        <f>'SC6'!A56</f>
        <v xml:space="preserve">Arts and Culture-Museum Subsidies - Tatham Art Gallery </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398" t="e">
        <f>'SC6'!#REF!</f>
        <v>#REF!</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89" activePane="bottomRight" state="frozen"/>
      <selection pane="topRight"/>
      <selection pane="bottomLeft"/>
      <selection pane="bottomRight" activeCell="F34" sqref="F34:G45"/>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"&amp;S71N&amp; " - "&amp;Head57</f>
        <v>KZN225 Msunduzi - Supporting Table SC8 Monthly Budget Statement - councillor and staff benefits  - M05 November</v>
      </c>
      <c r="B1" s="1054"/>
      <c r="C1" s="1054"/>
      <c r="D1" s="1054"/>
      <c r="E1" s="1054"/>
      <c r="F1" s="1054"/>
      <c r="G1" s="1054"/>
      <c r="H1" s="1054"/>
      <c r="I1" s="1054"/>
      <c r="J1" s="1054"/>
      <c r="K1" s="1054"/>
    </row>
    <row r="2" spans="1:11" x14ac:dyDescent="0.25">
      <c r="A2" s="1043" t="s">
        <v>650</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2759797.8099999996</v>
      </c>
      <c r="G7" s="733">
        <v>13578010.739999998</v>
      </c>
      <c r="H7" s="733">
        <f t="shared" ref="H7:H12" si="0">E7/12*5</f>
        <v>6580120.372916664</v>
      </c>
      <c r="I7" s="44">
        <f t="shared" ref="I7:I14" si="1">G7-H7</f>
        <v>6997890.3670833344</v>
      </c>
      <c r="J7" s="330">
        <f t="shared" ref="J7:J14" si="2">IF(I7=0,"",I7/H7)</f>
        <v>1.0634897191069914</v>
      </c>
      <c r="K7" s="735">
        <f t="shared" ref="K7:K12" si="3">E7</f>
        <v>15792288.894999994</v>
      </c>
    </row>
    <row r="8" spans="1:11" ht="12.75" customHeight="1" x14ac:dyDescent="0.25">
      <c r="A8" s="518" t="s">
        <v>1048</v>
      </c>
      <c r="B8" s="169"/>
      <c r="C8" s="748"/>
      <c r="D8" s="745">
        <v>6273530.0123999976</v>
      </c>
      <c r="E8" s="733">
        <v>6273530.0123999976</v>
      </c>
      <c r="F8" s="733">
        <v>356701.19</v>
      </c>
      <c r="G8" s="733">
        <v>2069699.51</v>
      </c>
      <c r="H8" s="733">
        <f t="shared" si="0"/>
        <v>2613970.8384999991</v>
      </c>
      <c r="I8" s="44">
        <f t="shared" si="1"/>
        <v>-544271.32849999913</v>
      </c>
      <c r="J8" s="330">
        <f t="shared" si="2"/>
        <v>-0.20821629701589317</v>
      </c>
      <c r="K8" s="735">
        <f t="shared" si="3"/>
        <v>6273530.0123999976</v>
      </c>
    </row>
    <row r="9" spans="1:11" ht="12.75" customHeight="1" x14ac:dyDescent="0.25">
      <c r="A9" s="518" t="s">
        <v>427</v>
      </c>
      <c r="B9" s="169"/>
      <c r="C9" s="748"/>
      <c r="D9" s="745">
        <v>10528192.964839995</v>
      </c>
      <c r="E9" s="733">
        <v>10528192.964839995</v>
      </c>
      <c r="F9" s="733">
        <v>154610.57999999999</v>
      </c>
      <c r="G9" s="733">
        <v>799161.24</v>
      </c>
      <c r="H9" s="733">
        <f t="shared" si="0"/>
        <v>4386747.0686833309</v>
      </c>
      <c r="I9" s="44">
        <f t="shared" si="1"/>
        <v>-3587585.8286833307</v>
      </c>
      <c r="J9" s="330">
        <f t="shared" si="2"/>
        <v>-0.81782372507748291</v>
      </c>
      <c r="K9" s="735">
        <f t="shared" si="3"/>
        <v>10528192.964839995</v>
      </c>
    </row>
    <row r="10" spans="1:11" ht="12.75" customHeight="1" x14ac:dyDescent="0.25">
      <c r="A10" s="518" t="s">
        <v>1049</v>
      </c>
      <c r="B10" s="169"/>
      <c r="C10" s="748"/>
      <c r="D10" s="745">
        <v>10528194.069359997</v>
      </c>
      <c r="E10" s="733">
        <v>10528194.069359997</v>
      </c>
      <c r="F10" s="733">
        <v>497177.37999999995</v>
      </c>
      <c r="G10" s="733">
        <v>2873824.08</v>
      </c>
      <c r="H10" s="733">
        <f t="shared" si="0"/>
        <v>4386747.5288999993</v>
      </c>
      <c r="I10" s="44">
        <f>G10-H10</f>
        <v>-1512923.4488999993</v>
      </c>
      <c r="J10" s="330">
        <f>IF(I10=0,"",I10/H10)</f>
        <v>-0.34488500624501928</v>
      </c>
      <c r="K10" s="735">
        <f t="shared" si="3"/>
        <v>10528194.069359997</v>
      </c>
    </row>
    <row r="11" spans="1:11" ht="12.75" customHeight="1" x14ac:dyDescent="0.25">
      <c r="A11" s="39" t="s">
        <v>1050</v>
      </c>
      <c r="B11" s="169"/>
      <c r="C11" s="748"/>
      <c r="D11" s="745">
        <v>5264098.1391999982</v>
      </c>
      <c r="E11" s="733">
        <v>5264098.1391999982</v>
      </c>
      <c r="F11" s="733">
        <v>226940.36</v>
      </c>
      <c r="G11" s="733">
        <v>1781128.9100000001</v>
      </c>
      <c r="H11" s="733">
        <f t="shared" si="0"/>
        <v>2193374.2246666658</v>
      </c>
      <c r="I11" s="44">
        <f>G11-H11</f>
        <v>-412245.31466666562</v>
      </c>
      <c r="J11" s="330">
        <f>IF(I11=0,"",I11/H11)</f>
        <v>-0.18795028683685561</v>
      </c>
      <c r="K11" s="735">
        <f t="shared" si="3"/>
        <v>5264098.1391999982</v>
      </c>
    </row>
    <row r="12" spans="1:11" ht="12.75" customHeight="1" x14ac:dyDescent="0.25">
      <c r="A12" s="39" t="s">
        <v>1051</v>
      </c>
      <c r="B12" s="169"/>
      <c r="C12" s="748"/>
      <c r="D12" s="745">
        <v>5264097.0346799986</v>
      </c>
      <c r="E12" s="733">
        <v>5264097.0346799986</v>
      </c>
      <c r="F12" s="733">
        <v>11074.34</v>
      </c>
      <c r="G12" s="733">
        <v>55371.7</v>
      </c>
      <c r="H12" s="733">
        <f t="shared" si="0"/>
        <v>2193373.7644499997</v>
      </c>
      <c r="I12" s="44">
        <f>G12-H12</f>
        <v>-2138002.0644499995</v>
      </c>
      <c r="J12" s="330">
        <f>IF(I12=0,"",I12/H12)</f>
        <v>-0.97475500943001159</v>
      </c>
      <c r="K12" s="735">
        <f t="shared" si="3"/>
        <v>5264097.0346799986</v>
      </c>
    </row>
    <row r="13" spans="1:11" ht="12.75" customHeight="1" x14ac:dyDescent="0.25">
      <c r="A13" s="39" t="s">
        <v>1052</v>
      </c>
      <c r="B13" s="169"/>
      <c r="C13" s="748"/>
      <c r="D13" s="745"/>
      <c r="E13" s="733"/>
      <c r="F13" s="733">
        <v>7336.37</v>
      </c>
      <c r="G13" s="733">
        <v>468935.05</v>
      </c>
      <c r="H13" s="733"/>
      <c r="I13" s="44">
        <f t="shared" si="1"/>
        <v>468935.05</v>
      </c>
      <c r="J13" s="330" t="e">
        <f t="shared" si="2"/>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4013638.0299999993</v>
      </c>
      <c r="G14" s="430">
        <f t="shared" si="4"/>
        <v>21626131.23</v>
      </c>
      <c r="H14" s="430">
        <f t="shared" si="4"/>
        <v>22354333.798116658</v>
      </c>
      <c r="I14" s="430">
        <f t="shared" si="1"/>
        <v>-728202.56811665744</v>
      </c>
      <c r="J14" s="431">
        <f t="shared" si="2"/>
        <v>-3.2575453811019325E-2</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762265.25999999989</v>
      </c>
      <c r="G18" s="733">
        <v>3204288.3</v>
      </c>
      <c r="H18" s="733">
        <f>E18/12*5</f>
        <v>4433495.7420000006</v>
      </c>
      <c r="I18" s="44">
        <f t="shared" ref="I18:I30" si="5">G18-H18</f>
        <v>-1229207.4420000007</v>
      </c>
      <c r="J18" s="330">
        <f t="shared" ref="J18:J29" si="6">IF(I18=0,"",I18/H18)</f>
        <v>-0.2772546797226631</v>
      </c>
      <c r="K18" s="735">
        <f t="shared" ref="K18:K25" si="7">E18</f>
        <v>10640389.780800002</v>
      </c>
    </row>
    <row r="19" spans="1:11" ht="12.75" customHeight="1" x14ac:dyDescent="0.25">
      <c r="A19" s="39" t="s">
        <v>1048</v>
      </c>
      <c r="B19" s="169"/>
      <c r="C19" s="748"/>
      <c r="D19" s="745">
        <v>1458021.1247999999</v>
      </c>
      <c r="E19" s="733">
        <v>1458021.1247999999</v>
      </c>
      <c r="F19" s="733">
        <v>68864.959999999992</v>
      </c>
      <c r="G19" s="733">
        <v>343690.31999999995</v>
      </c>
      <c r="H19" s="733">
        <f>E19/12*5</f>
        <v>607508.80199999991</v>
      </c>
      <c r="I19" s="44">
        <f t="shared" si="5"/>
        <v>-263818.48199999996</v>
      </c>
      <c r="J19" s="330">
        <f t="shared" si="6"/>
        <v>-0.43426281418717616</v>
      </c>
      <c r="K19" s="735">
        <f t="shared" si="7"/>
        <v>1458021.1247999999</v>
      </c>
    </row>
    <row r="20" spans="1:11" ht="12.75" customHeight="1" x14ac:dyDescent="0.25">
      <c r="A20" s="39" t="s">
        <v>427</v>
      </c>
      <c r="B20" s="169"/>
      <c r="C20" s="748"/>
      <c r="D20" s="745">
        <v>160334.42939999999</v>
      </c>
      <c r="E20" s="733">
        <v>160334.42939999999</v>
      </c>
      <c r="F20" s="733">
        <v>7659.12</v>
      </c>
      <c r="G20" s="733">
        <v>38295.599999999999</v>
      </c>
      <c r="H20" s="733">
        <f>E20/12*5</f>
        <v>66806.01225</v>
      </c>
      <c r="I20" s="44">
        <f t="shared" si="5"/>
        <v>-28510.412250000001</v>
      </c>
      <c r="J20" s="330">
        <f t="shared" si="6"/>
        <v>-0.42676416822050328</v>
      </c>
      <c r="K20" s="735">
        <f t="shared" si="7"/>
        <v>160334.42939999999</v>
      </c>
    </row>
    <row r="21" spans="1:11" ht="12.75" customHeight="1" x14ac:dyDescent="0.25">
      <c r="A21" s="39" t="s">
        <v>539</v>
      </c>
      <c r="B21" s="169"/>
      <c r="C21" s="748"/>
      <c r="D21" s="745">
        <v>0</v>
      </c>
      <c r="E21" s="733"/>
      <c r="F21" s="733"/>
      <c r="G21" s="733"/>
      <c r="H21" s="733"/>
      <c r="I21" s="44">
        <f t="shared" si="5"/>
        <v>0</v>
      </c>
      <c r="J21" s="330" t="str">
        <f t="shared" si="6"/>
        <v/>
      </c>
      <c r="K21" s="735"/>
    </row>
    <row r="22" spans="1:11" ht="12.75" customHeight="1" x14ac:dyDescent="0.25">
      <c r="A22" s="39" t="s">
        <v>429</v>
      </c>
      <c r="B22" s="169"/>
      <c r="C22" s="748"/>
      <c r="D22" s="745">
        <v>665728.85879999993</v>
      </c>
      <c r="E22" s="733">
        <v>665728.85879999993</v>
      </c>
      <c r="F22" s="733"/>
      <c r="G22" s="733">
        <v>96636.56</v>
      </c>
      <c r="H22" s="733">
        <f>E22/12*5</f>
        <v>277387.02449999994</v>
      </c>
      <c r="I22" s="44">
        <f>G22-H22</f>
        <v>-180750.46449999994</v>
      </c>
      <c r="J22" s="330">
        <f>IF(I22=0,"",I22/H22)</f>
        <v>-0.65161831136769699</v>
      </c>
      <c r="K22" s="735">
        <f t="shared" si="7"/>
        <v>665728.85879999993</v>
      </c>
    </row>
    <row r="23" spans="1:11" ht="12.75" customHeight="1" x14ac:dyDescent="0.25">
      <c r="A23" s="39" t="s">
        <v>1049</v>
      </c>
      <c r="B23" s="169"/>
      <c r="C23" s="748"/>
      <c r="D23" s="745">
        <v>1278372.5370000002</v>
      </c>
      <c r="E23" s="733">
        <v>1278372.5370000002</v>
      </c>
      <c r="F23" s="733">
        <v>124632.61</v>
      </c>
      <c r="G23" s="733">
        <v>376076.05</v>
      </c>
      <c r="H23" s="733">
        <f>E23/12*5</f>
        <v>532655.22375000012</v>
      </c>
      <c r="I23" s="44">
        <f>G23-H23</f>
        <v>-156579.17375000013</v>
      </c>
      <c r="J23" s="330">
        <f>IF(I23=0,"",I23/H23)</f>
        <v>-0.29395970745889094</v>
      </c>
      <c r="K23" s="735">
        <f t="shared" si="7"/>
        <v>1278372.5370000002</v>
      </c>
    </row>
    <row r="24" spans="1:11" ht="12.75" customHeight="1" x14ac:dyDescent="0.25">
      <c r="A24" s="39" t="s">
        <v>1050</v>
      </c>
      <c r="B24" s="169"/>
      <c r="C24" s="748"/>
      <c r="D24" s="745">
        <v>111150.72719999999</v>
      </c>
      <c r="E24" s="733">
        <v>111150.72719999999</v>
      </c>
      <c r="F24" s="733">
        <v>6950</v>
      </c>
      <c r="G24" s="733">
        <v>34750</v>
      </c>
      <c r="H24" s="733">
        <f>E24/12*5</f>
        <v>46312.802999999993</v>
      </c>
      <c r="I24" s="44">
        <f>G24-H24</f>
        <v>-11562.802999999993</v>
      </c>
      <c r="J24" s="330">
        <f>IF(I24=0,"",I24/H24)</f>
        <v>-0.24966752714146873</v>
      </c>
      <c r="K24" s="735">
        <f t="shared" si="7"/>
        <v>111150.72719999999</v>
      </c>
    </row>
    <row r="25" spans="1:11" ht="12.75" customHeight="1" x14ac:dyDescent="0.25">
      <c r="A25" s="39" t="s">
        <v>1051</v>
      </c>
      <c r="B25" s="169"/>
      <c r="C25" s="748"/>
      <c r="D25" s="745">
        <v>756254.19959999993</v>
      </c>
      <c r="E25" s="733">
        <v>756254.19959999993</v>
      </c>
      <c r="F25" s="733">
        <v>1929.02</v>
      </c>
      <c r="G25" s="733">
        <v>9645.1</v>
      </c>
      <c r="H25" s="733">
        <f>E25/12*5</f>
        <v>315105.91649999999</v>
      </c>
      <c r="I25" s="44">
        <f>G25-H25</f>
        <v>-305460.81650000002</v>
      </c>
      <c r="J25" s="330">
        <f>IF(I25=0,"",I25/H25)</f>
        <v>-0.96939092700279406</v>
      </c>
      <c r="K25" s="735">
        <f t="shared" si="7"/>
        <v>756254.19959999993</v>
      </c>
    </row>
    <row r="26" spans="1:11" ht="12.75" customHeight="1" x14ac:dyDescent="0.25">
      <c r="A26" s="39" t="s">
        <v>1052</v>
      </c>
      <c r="B26" s="169"/>
      <c r="C26" s="748"/>
      <c r="D26" s="745"/>
      <c r="E26" s="733"/>
      <c r="F26" s="733"/>
      <c r="G26" s="733"/>
      <c r="H26" s="733"/>
      <c r="I26" s="44">
        <f t="shared" si="5"/>
        <v>0</v>
      </c>
      <c r="J26" s="330" t="str">
        <f t="shared" si="6"/>
        <v/>
      </c>
      <c r="K26" s="735"/>
    </row>
    <row r="27" spans="1:11" ht="12.75" customHeight="1" x14ac:dyDescent="0.25">
      <c r="A27" s="39" t="s">
        <v>1053</v>
      </c>
      <c r="B27" s="169"/>
      <c r="C27" s="748"/>
      <c r="D27" s="745"/>
      <c r="E27" s="733"/>
      <c r="F27" s="733"/>
      <c r="G27" s="733"/>
      <c r="H27" s="733"/>
      <c r="I27" s="44">
        <f t="shared" si="5"/>
        <v>0</v>
      </c>
      <c r="J27" s="330" t="str">
        <f t="shared" si="6"/>
        <v/>
      </c>
      <c r="K27" s="735"/>
    </row>
    <row r="28" spans="1:11" ht="12.75" customHeight="1" x14ac:dyDescent="0.25">
      <c r="A28" s="39" t="s">
        <v>1054</v>
      </c>
      <c r="B28" s="169"/>
      <c r="C28" s="748"/>
      <c r="D28" s="745"/>
      <c r="E28" s="733"/>
      <c r="F28" s="733"/>
      <c r="G28" s="733"/>
      <c r="H28" s="733"/>
      <c r="I28" s="44">
        <f t="shared" si="5"/>
        <v>0</v>
      </c>
      <c r="J28" s="330" t="str">
        <f t="shared" si="6"/>
        <v/>
      </c>
      <c r="K28" s="735"/>
    </row>
    <row r="29" spans="1:11" ht="12.75" customHeight="1" x14ac:dyDescent="0.25">
      <c r="A29" s="39" t="s">
        <v>1055</v>
      </c>
      <c r="B29" s="169">
        <v>2</v>
      </c>
      <c r="C29" s="748"/>
      <c r="D29" s="745"/>
      <c r="E29" s="733"/>
      <c r="F29" s="733"/>
      <c r="G29" s="733"/>
      <c r="H29" s="733"/>
      <c r="I29" s="44">
        <f t="shared" si="5"/>
        <v>0</v>
      </c>
      <c r="J29" s="330" t="str">
        <f t="shared" si="6"/>
        <v/>
      </c>
      <c r="K29" s="735"/>
    </row>
    <row r="30" spans="1:11" ht="12.75" customHeight="1" x14ac:dyDescent="0.25">
      <c r="A30" s="87" t="s">
        <v>430</v>
      </c>
      <c r="B30" s="169"/>
      <c r="C30" s="516">
        <f t="shared" ref="C30:K30" si="8">SUM(C18:C29)</f>
        <v>0</v>
      </c>
      <c r="D30" s="475">
        <f t="shared" si="8"/>
        <v>15070251.657600002</v>
      </c>
      <c r="E30" s="430">
        <f t="shared" si="8"/>
        <v>15070251.657600002</v>
      </c>
      <c r="F30" s="430">
        <f>SUM(F18:F29)</f>
        <v>972300.96999999986</v>
      </c>
      <c r="G30" s="430">
        <f>SUM(G18:G29)</f>
        <v>4103381.9299999997</v>
      </c>
      <c r="H30" s="430">
        <f>SUM(H18:H29)</f>
        <v>6279271.5240000011</v>
      </c>
      <c r="I30" s="430">
        <f t="shared" si="5"/>
        <v>-2175889.5940000014</v>
      </c>
      <c r="J30" s="431">
        <f>IF(I30=0,"",I30/H30)</f>
        <v>-0.34651943074662955</v>
      </c>
      <c r="K30" s="513">
        <f t="shared" si="8"/>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67387985.49000001</v>
      </c>
      <c r="G34" s="733">
        <v>338488312.67000002</v>
      </c>
      <c r="H34" s="733">
        <f t="shared" ref="H34:H42" si="9">E34/12*5</f>
        <v>376848456.59991908</v>
      </c>
      <c r="I34" s="44">
        <f t="shared" ref="I34:I46" si="10">G34-H34</f>
        <v>-38360143.929919064</v>
      </c>
      <c r="J34" s="330">
        <f t="shared" ref="J34:J45" si="11">IF(I34=0,"",I34/H34)</f>
        <v>-0.10179196241380414</v>
      </c>
      <c r="K34" s="735">
        <f t="shared" ref="K34:K42" si="12">E34</f>
        <v>904436295.83980572</v>
      </c>
    </row>
    <row r="35" spans="1:11" ht="12.75" customHeight="1" x14ac:dyDescent="0.25">
      <c r="A35" s="518" t="s">
        <v>1048</v>
      </c>
      <c r="B35" s="169"/>
      <c r="C35" s="748"/>
      <c r="D35" s="745">
        <v>188647083.87682125</v>
      </c>
      <c r="E35" s="733">
        <v>188647083.87682125</v>
      </c>
      <c r="F35" s="733">
        <v>13951241.860000005</v>
      </c>
      <c r="G35" s="733">
        <v>70250663.809999973</v>
      </c>
      <c r="H35" s="733">
        <f t="shared" si="9"/>
        <v>78602951.615342185</v>
      </c>
      <c r="I35" s="44">
        <f t="shared" si="10"/>
        <v>-8352287.8053422123</v>
      </c>
      <c r="J35" s="330">
        <f t="shared" si="11"/>
        <v>-0.10625921334628309</v>
      </c>
      <c r="K35" s="735">
        <f t="shared" si="12"/>
        <v>188647083.87682125</v>
      </c>
    </row>
    <row r="36" spans="1:11" ht="12.75" customHeight="1" x14ac:dyDescent="0.25">
      <c r="A36" s="518" t="s">
        <v>427</v>
      </c>
      <c r="B36" s="169"/>
      <c r="C36" s="748"/>
      <c r="D36" s="745">
        <v>70300830.27188544</v>
      </c>
      <c r="E36" s="733">
        <v>70300830.27188544</v>
      </c>
      <c r="F36" s="733">
        <v>5208786.3600000013</v>
      </c>
      <c r="G36" s="733">
        <v>26006000.609999999</v>
      </c>
      <c r="H36" s="733">
        <f t="shared" si="9"/>
        <v>29292012.613285597</v>
      </c>
      <c r="I36" s="44">
        <f t="shared" si="10"/>
        <v>-3286012.003285598</v>
      </c>
      <c r="J36" s="330">
        <f t="shared" si="11"/>
        <v>-0.11218116169304133</v>
      </c>
      <c r="K36" s="735">
        <f t="shared" si="12"/>
        <v>70300830.27188544</v>
      </c>
    </row>
    <row r="37" spans="1:11" ht="12.75" customHeight="1" x14ac:dyDescent="0.25">
      <c r="A37" s="518" t="s">
        <v>539</v>
      </c>
      <c r="B37" s="169"/>
      <c r="C37" s="748"/>
      <c r="D37" s="745">
        <v>73644368.523901194</v>
      </c>
      <c r="E37" s="733">
        <v>73644368.523901194</v>
      </c>
      <c r="F37" s="733">
        <v>7208280.4699999988</v>
      </c>
      <c r="G37" s="733">
        <v>39590375.339999996</v>
      </c>
      <c r="H37" s="733">
        <f t="shared" si="9"/>
        <v>30685153.551625498</v>
      </c>
      <c r="I37" s="44">
        <f t="shared" si="10"/>
        <v>8905221.7883744985</v>
      </c>
      <c r="J37" s="330">
        <f t="shared" si="11"/>
        <v>0.29021271714974872</v>
      </c>
      <c r="K37" s="735">
        <f t="shared" si="12"/>
        <v>73644368.523901194</v>
      </c>
    </row>
    <row r="38" spans="1:11" ht="12.75" customHeight="1" x14ac:dyDescent="0.25">
      <c r="A38" s="518" t="s">
        <v>429</v>
      </c>
      <c r="B38" s="169"/>
      <c r="C38" s="748"/>
      <c r="D38" s="745">
        <v>70366153.174669325</v>
      </c>
      <c r="E38" s="733">
        <v>70366153.174669325</v>
      </c>
      <c r="F38" s="733">
        <v>11954.410000000025</v>
      </c>
      <c r="G38" s="733">
        <v>63557764.339999974</v>
      </c>
      <c r="H38" s="733">
        <f t="shared" si="9"/>
        <v>29319230.489445552</v>
      </c>
      <c r="I38" s="44">
        <f t="shared" si="10"/>
        <v>34238533.850554422</v>
      </c>
      <c r="J38" s="330">
        <f t="shared" si="11"/>
        <v>1.1677841907508364</v>
      </c>
      <c r="K38" s="735">
        <f t="shared" si="12"/>
        <v>70366153.174669325</v>
      </c>
    </row>
    <row r="39" spans="1:11" ht="12.75" customHeight="1" x14ac:dyDescent="0.25">
      <c r="A39" s="518" t="s">
        <v>1049</v>
      </c>
      <c r="B39" s="169"/>
      <c r="C39" s="748"/>
      <c r="D39" s="745">
        <v>24659111.788440011</v>
      </c>
      <c r="E39" s="733">
        <v>24659111.788440011</v>
      </c>
      <c r="F39" s="733">
        <v>2411616.5999999992</v>
      </c>
      <c r="G39" s="733">
        <v>11679879.419999996</v>
      </c>
      <c r="H39" s="733">
        <f t="shared" si="9"/>
        <v>10274629.911850005</v>
      </c>
      <c r="I39" s="44">
        <f>G39-H39</f>
        <v>1405249.5081499908</v>
      </c>
      <c r="J39" s="330">
        <f>IF(I39=0,"",I39/H39)</f>
        <v>0.1367688685827291</v>
      </c>
      <c r="K39" s="735">
        <f t="shared" si="12"/>
        <v>24659111.788440011</v>
      </c>
    </row>
    <row r="40" spans="1:11" ht="12.75" customHeight="1" x14ac:dyDescent="0.25">
      <c r="A40" s="518" t="s">
        <v>1050</v>
      </c>
      <c r="B40" s="169"/>
      <c r="C40" s="748"/>
      <c r="D40" s="745">
        <v>4232876.804076002</v>
      </c>
      <c r="E40" s="733">
        <v>4232876.804076002</v>
      </c>
      <c r="F40" s="733">
        <v>350931.23000000004</v>
      </c>
      <c r="G40" s="733">
        <v>1690743.55</v>
      </c>
      <c r="H40" s="733">
        <f t="shared" si="9"/>
        <v>1763698.668365001</v>
      </c>
      <c r="I40" s="44">
        <f>G40-H40</f>
        <v>-72955.118365000933</v>
      </c>
      <c r="J40" s="330">
        <f>IF(I40=0,"",I40/H40)</f>
        <v>-4.13648429142561E-2</v>
      </c>
      <c r="K40" s="735">
        <f t="shared" si="12"/>
        <v>4232876.804076002</v>
      </c>
    </row>
    <row r="41" spans="1:11" ht="12.75" customHeight="1" x14ac:dyDescent="0.25">
      <c r="A41" s="518" t="s">
        <v>1051</v>
      </c>
      <c r="B41" s="169"/>
      <c r="C41" s="748"/>
      <c r="D41" s="745">
        <v>7812877.275000005</v>
      </c>
      <c r="E41" s="733">
        <v>7812877.275000005</v>
      </c>
      <c r="F41" s="733">
        <v>367478.31000000029</v>
      </c>
      <c r="G41" s="733">
        <v>1832569.0000000007</v>
      </c>
      <c r="H41" s="733">
        <f t="shared" si="9"/>
        <v>3255365.5312500019</v>
      </c>
      <c r="I41" s="44">
        <f>G41-H41</f>
        <v>-1422796.5312500012</v>
      </c>
      <c r="J41" s="330">
        <f>IF(I41=0,"",I41/H41)</f>
        <v>-0.43706198815211783</v>
      </c>
      <c r="K41" s="735">
        <f t="shared" si="12"/>
        <v>7812877.275000005</v>
      </c>
    </row>
    <row r="42" spans="1:11" ht="12.75" customHeight="1" x14ac:dyDescent="0.25">
      <c r="A42" s="518" t="s">
        <v>1052</v>
      </c>
      <c r="B42" s="169"/>
      <c r="C42" s="748"/>
      <c r="D42" s="745">
        <v>46854856.603799991</v>
      </c>
      <c r="E42" s="733">
        <v>46854856.603799991</v>
      </c>
      <c r="F42" s="733">
        <v>6185167.3200000012</v>
      </c>
      <c r="G42" s="733">
        <v>29944644.390000001</v>
      </c>
      <c r="H42" s="733">
        <f t="shared" si="9"/>
        <v>19522856.918249995</v>
      </c>
      <c r="I42" s="44">
        <f t="shared" si="10"/>
        <v>10421787.471750006</v>
      </c>
      <c r="J42" s="330">
        <f t="shared" si="11"/>
        <v>0.53382491688538192</v>
      </c>
      <c r="K42" s="735">
        <f t="shared" si="12"/>
        <v>46854856.603799991</v>
      </c>
    </row>
    <row r="43" spans="1:11" ht="12.75" customHeight="1" x14ac:dyDescent="0.25">
      <c r="A43" s="518" t="s">
        <v>1053</v>
      </c>
      <c r="B43" s="169"/>
      <c r="C43" s="748"/>
      <c r="D43" s="745"/>
      <c r="E43" s="733"/>
      <c r="F43" s="733"/>
      <c r="G43" s="733"/>
      <c r="H43" s="733"/>
      <c r="I43" s="44">
        <f t="shared" si="10"/>
        <v>0</v>
      </c>
      <c r="J43" s="330" t="str">
        <f t="shared" si="11"/>
        <v/>
      </c>
      <c r="K43" s="735"/>
    </row>
    <row r="44" spans="1:11" ht="12.75" customHeight="1" x14ac:dyDescent="0.25">
      <c r="A44" s="518" t="s">
        <v>1054</v>
      </c>
      <c r="B44" s="169"/>
      <c r="C44" s="748"/>
      <c r="D44" s="745">
        <v>24172767.795784086</v>
      </c>
      <c r="E44" s="733">
        <v>24172767.795784086</v>
      </c>
      <c r="F44" s="733">
        <v>2705790.0500000007</v>
      </c>
      <c r="G44" s="733">
        <v>10421130.589999994</v>
      </c>
      <c r="H44" s="733">
        <f>E44/12*5</f>
        <v>10071986.581576703</v>
      </c>
      <c r="I44" s="44">
        <f t="shared" si="10"/>
        <v>349144.00842329115</v>
      </c>
      <c r="J44" s="330">
        <f t="shared" si="11"/>
        <v>3.4664860362496129E-2</v>
      </c>
      <c r="K44" s="735">
        <f>E44</f>
        <v>24172767.795784086</v>
      </c>
    </row>
    <row r="45" spans="1:11" ht="12.75" customHeight="1" x14ac:dyDescent="0.25">
      <c r="A45" s="518" t="s">
        <v>1055</v>
      </c>
      <c r="B45" s="169">
        <v>2</v>
      </c>
      <c r="C45" s="748"/>
      <c r="D45" s="745"/>
      <c r="E45" s="733"/>
      <c r="F45" s="733"/>
      <c r="G45" s="733"/>
      <c r="H45" s="733"/>
      <c r="I45" s="44">
        <f t="shared" si="10"/>
        <v>0</v>
      </c>
      <c r="J45" s="330" t="str">
        <f t="shared" si="11"/>
        <v/>
      </c>
      <c r="K45" s="735"/>
    </row>
    <row r="46" spans="1:11" ht="12.75" customHeight="1" x14ac:dyDescent="0.25">
      <c r="A46" s="87" t="s">
        <v>432</v>
      </c>
      <c r="B46" s="169"/>
      <c r="C46" s="516">
        <f t="shared" ref="C46:K46" si="13">SUM(C34:C45)</f>
        <v>0</v>
      </c>
      <c r="D46" s="475">
        <f t="shared" si="13"/>
        <v>1415127221.9541829</v>
      </c>
      <c r="E46" s="430">
        <f t="shared" si="13"/>
        <v>1415127221.9541829</v>
      </c>
      <c r="F46" s="430">
        <f>SUM(F34:F45)</f>
        <v>105789232.10000001</v>
      </c>
      <c r="G46" s="430">
        <f>SUM(G34:G45)</f>
        <v>593462083.71999991</v>
      </c>
      <c r="H46" s="430">
        <f>SUM(H34:H45)</f>
        <v>589636342.48090959</v>
      </c>
      <c r="I46" s="430">
        <f t="shared" si="10"/>
        <v>3825741.2390903234</v>
      </c>
      <c r="J46" s="431">
        <f>IF(I46=0,"",I46/H46)</f>
        <v>6.4883063737106537E-3</v>
      </c>
      <c r="K46" s="513">
        <f t="shared" si="13"/>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4">D14+D30+D46</f>
        <v>1483847874.727263</v>
      </c>
      <c r="E49" s="73">
        <f t="shared" si="14"/>
        <v>1483847874.727263</v>
      </c>
      <c r="F49" s="73">
        <f t="shared" si="14"/>
        <v>110775171.10000001</v>
      </c>
      <c r="G49" s="73">
        <f t="shared" si="14"/>
        <v>619191596.87999988</v>
      </c>
      <c r="H49" s="73">
        <f t="shared" si="14"/>
        <v>618269947.8030262</v>
      </c>
      <c r="I49" s="73">
        <f>G49-H49</f>
        <v>921649.07697367668</v>
      </c>
      <c r="J49" s="331">
        <f>IF(I49=0,"",I49/H49)</f>
        <v>1.490690401900795E-3</v>
      </c>
      <c r="K49" s="145">
        <f t="shared" si="14"/>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5">G54-H54</f>
        <v>0</v>
      </c>
      <c r="J54" s="330" t="str">
        <f t="shared" ref="J54:J66" si="16">IF(I54=0,"",I54/H54)</f>
        <v/>
      </c>
      <c r="K54" s="735"/>
    </row>
    <row r="55" spans="1:11" ht="12.75" customHeight="1" x14ac:dyDescent="0.25">
      <c r="A55" s="39" t="s">
        <v>1048</v>
      </c>
      <c r="B55" s="169"/>
      <c r="C55" s="748"/>
      <c r="D55" s="745"/>
      <c r="E55" s="733"/>
      <c r="F55" s="733"/>
      <c r="G55" s="733"/>
      <c r="H55" s="733"/>
      <c r="I55" s="44">
        <f t="shared" si="15"/>
        <v>0</v>
      </c>
      <c r="J55" s="330" t="str">
        <f t="shared" si="16"/>
        <v/>
      </c>
      <c r="K55" s="735"/>
    </row>
    <row r="56" spans="1:11" ht="12.75" customHeight="1" x14ac:dyDescent="0.25">
      <c r="A56" s="39" t="s">
        <v>427</v>
      </c>
      <c r="B56" s="169"/>
      <c r="C56" s="748"/>
      <c r="D56" s="745"/>
      <c r="E56" s="733"/>
      <c r="F56" s="733"/>
      <c r="G56" s="733"/>
      <c r="H56" s="733"/>
      <c r="I56" s="44">
        <f t="shared" si="15"/>
        <v>0</v>
      </c>
      <c r="J56" s="330" t="str">
        <f t="shared" si="16"/>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5"/>
        <v>0</v>
      </c>
      <c r="J62" s="330" t="str">
        <f t="shared" si="16"/>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5"/>
        <v>0</v>
      </c>
      <c r="J64" s="330" t="str">
        <f t="shared" si="16"/>
        <v/>
      </c>
      <c r="K64" s="735"/>
    </row>
    <row r="65" spans="1:11" ht="12.75" customHeight="1" x14ac:dyDescent="0.25">
      <c r="A65" s="39" t="s">
        <v>1054</v>
      </c>
      <c r="B65" s="169"/>
      <c r="C65" s="748"/>
      <c r="D65" s="745"/>
      <c r="E65" s="733"/>
      <c r="F65" s="733"/>
      <c r="G65" s="733"/>
      <c r="H65" s="733"/>
      <c r="I65" s="44">
        <f t="shared" si="15"/>
        <v>0</v>
      </c>
      <c r="J65" s="330" t="str">
        <f t="shared" si="16"/>
        <v/>
      </c>
      <c r="K65" s="735"/>
    </row>
    <row r="66" spans="1:11" ht="12.75" customHeight="1" x14ac:dyDescent="0.25">
      <c r="A66" s="39" t="s">
        <v>1055</v>
      </c>
      <c r="B66" s="169"/>
      <c r="C66" s="748"/>
      <c r="D66" s="745"/>
      <c r="E66" s="733"/>
      <c r="F66" s="733"/>
      <c r="G66" s="733"/>
      <c r="H66" s="733"/>
      <c r="I66" s="44">
        <f t="shared" si="15"/>
        <v>0</v>
      </c>
      <c r="J66" s="330" t="str">
        <f t="shared" si="16"/>
        <v/>
      </c>
      <c r="K66" s="735"/>
    </row>
    <row r="67" spans="1:11" ht="12.75" customHeight="1" x14ac:dyDescent="0.25">
      <c r="A67" s="87" t="s">
        <v>770</v>
      </c>
      <c r="B67" s="169">
        <v>2</v>
      </c>
      <c r="C67" s="516">
        <f t="shared" ref="C67:K67" si="17">SUM(C54:C66)</f>
        <v>0</v>
      </c>
      <c r="D67" s="475">
        <f t="shared" si="17"/>
        <v>0</v>
      </c>
      <c r="E67" s="430">
        <f t="shared" si="17"/>
        <v>0</v>
      </c>
      <c r="F67" s="430">
        <f>SUM(F54:F66)</f>
        <v>0</v>
      </c>
      <c r="G67" s="430">
        <f>SUM(G54:G66)</f>
        <v>0</v>
      </c>
      <c r="H67" s="430">
        <f>SUM(H54:H66)</f>
        <v>0</v>
      </c>
      <c r="I67" s="430">
        <f t="shared" si="15"/>
        <v>0</v>
      </c>
      <c r="J67" s="431" t="str">
        <f>IF(I67=0,"",I67/H67)</f>
        <v/>
      </c>
      <c r="K67" s="513">
        <f t="shared" si="17"/>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c r="E71" s="733"/>
      <c r="F71" s="733"/>
      <c r="G71" s="733"/>
      <c r="H71" s="733"/>
      <c r="I71" s="44">
        <f t="shared" ref="I71:I83" si="18">G71-H71</f>
        <v>0</v>
      </c>
      <c r="J71" s="330" t="str">
        <f t="shared" ref="J71:J82" si="19">IF(I71=0,"",I71/H71)</f>
        <v/>
      </c>
      <c r="K71" s="735"/>
    </row>
    <row r="72" spans="1:11" ht="12.75" customHeight="1" x14ac:dyDescent="0.25">
      <c r="A72" s="518" t="s">
        <v>1048</v>
      </c>
      <c r="B72" s="169"/>
      <c r="C72" s="748"/>
      <c r="D72" s="745"/>
      <c r="E72" s="733"/>
      <c r="F72" s="733"/>
      <c r="G72" s="733"/>
      <c r="H72" s="733"/>
      <c r="I72" s="44">
        <f t="shared" si="18"/>
        <v>0</v>
      </c>
      <c r="J72" s="330" t="str">
        <f t="shared" si="19"/>
        <v/>
      </c>
      <c r="K72" s="735"/>
    </row>
    <row r="73" spans="1:11" ht="12.75" customHeight="1" x14ac:dyDescent="0.25">
      <c r="A73" s="518" t="s">
        <v>427</v>
      </c>
      <c r="B73" s="169"/>
      <c r="C73" s="748"/>
      <c r="D73" s="745"/>
      <c r="E73" s="733"/>
      <c r="F73" s="733"/>
      <c r="G73" s="733"/>
      <c r="H73" s="733"/>
      <c r="I73" s="44">
        <f t="shared" si="18"/>
        <v>0</v>
      </c>
      <c r="J73" s="330" t="str">
        <f t="shared" si="19"/>
        <v/>
      </c>
      <c r="K73" s="735"/>
    </row>
    <row r="74" spans="1:11" ht="12.75" customHeight="1" x14ac:dyDescent="0.25">
      <c r="A74" s="518" t="s">
        <v>539</v>
      </c>
      <c r="B74" s="169"/>
      <c r="C74" s="748"/>
      <c r="D74" s="745"/>
      <c r="E74" s="733"/>
      <c r="F74" s="733"/>
      <c r="G74" s="733"/>
      <c r="H74" s="733"/>
      <c r="I74" s="44">
        <f t="shared" si="18"/>
        <v>0</v>
      </c>
      <c r="J74" s="330" t="str">
        <f t="shared" si="19"/>
        <v/>
      </c>
      <c r="K74" s="735"/>
    </row>
    <row r="75" spans="1:11" ht="12.75" customHeight="1" x14ac:dyDescent="0.25">
      <c r="A75" s="518" t="s">
        <v>429</v>
      </c>
      <c r="B75" s="169"/>
      <c r="C75" s="748"/>
      <c r="D75" s="745"/>
      <c r="E75" s="733"/>
      <c r="F75" s="733"/>
      <c r="G75" s="733"/>
      <c r="H75" s="733"/>
      <c r="I75" s="44">
        <f>G75-H75</f>
        <v>0</v>
      </c>
      <c r="J75" s="330" t="str">
        <f>IF(I75=0,"",I75/H75)</f>
        <v/>
      </c>
      <c r="K75" s="735"/>
    </row>
    <row r="76" spans="1:11" ht="12.75" customHeight="1" x14ac:dyDescent="0.25">
      <c r="A76" s="518" t="s">
        <v>1049</v>
      </c>
      <c r="B76" s="169"/>
      <c r="C76" s="748"/>
      <c r="D76" s="745"/>
      <c r="E76" s="733"/>
      <c r="F76" s="733"/>
      <c r="G76" s="733"/>
      <c r="H76" s="733"/>
      <c r="I76" s="44">
        <f>G76-H76</f>
        <v>0</v>
      </c>
      <c r="J76" s="330" t="str">
        <f>IF(I76=0,"",I76/H76)</f>
        <v/>
      </c>
      <c r="K76" s="735"/>
    </row>
    <row r="77" spans="1:11" ht="12.75" customHeight="1" x14ac:dyDescent="0.25">
      <c r="A77" s="518" t="s">
        <v>1050</v>
      </c>
      <c r="B77" s="169"/>
      <c r="C77" s="748"/>
      <c r="D77" s="745"/>
      <c r="E77" s="733"/>
      <c r="F77" s="733"/>
      <c r="G77" s="733"/>
      <c r="H77" s="733"/>
      <c r="I77" s="44">
        <f>G77-H77</f>
        <v>0</v>
      </c>
      <c r="J77" s="330" t="str">
        <f>IF(I77=0,"",I77/H77)</f>
        <v/>
      </c>
      <c r="K77" s="735"/>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18"/>
        <v>0</v>
      </c>
      <c r="J79" s="330" t="str">
        <f t="shared" si="19"/>
        <v/>
      </c>
      <c r="K79" s="735"/>
    </row>
    <row r="80" spans="1:11" ht="12.75" customHeight="1" x14ac:dyDescent="0.25">
      <c r="A80" s="518" t="s">
        <v>1053</v>
      </c>
      <c r="B80" s="169"/>
      <c r="C80" s="748"/>
      <c r="D80" s="745"/>
      <c r="E80" s="733"/>
      <c r="F80" s="733"/>
      <c r="G80" s="733"/>
      <c r="H80" s="733"/>
      <c r="I80" s="44">
        <f t="shared" si="18"/>
        <v>0</v>
      </c>
      <c r="J80" s="330" t="str">
        <f t="shared" si="19"/>
        <v/>
      </c>
      <c r="K80" s="735"/>
    </row>
    <row r="81" spans="1:11" ht="12.75" customHeight="1" x14ac:dyDescent="0.25">
      <c r="A81" s="518" t="s">
        <v>1054</v>
      </c>
      <c r="B81" s="169"/>
      <c r="C81" s="748"/>
      <c r="D81" s="745"/>
      <c r="E81" s="733"/>
      <c r="F81" s="733"/>
      <c r="G81" s="733"/>
      <c r="H81" s="733"/>
      <c r="I81" s="44">
        <f t="shared" si="18"/>
        <v>0</v>
      </c>
      <c r="J81" s="330" t="str">
        <f t="shared" si="19"/>
        <v/>
      </c>
      <c r="K81" s="735"/>
    </row>
    <row r="82" spans="1:11" ht="12.75" customHeight="1" x14ac:dyDescent="0.25">
      <c r="A82" s="518" t="s">
        <v>1055</v>
      </c>
      <c r="B82" s="169">
        <v>2</v>
      </c>
      <c r="C82" s="748"/>
      <c r="D82" s="745"/>
      <c r="E82" s="733"/>
      <c r="F82" s="733"/>
      <c r="G82" s="733"/>
      <c r="H82" s="733"/>
      <c r="I82" s="44">
        <f t="shared" si="18"/>
        <v>0</v>
      </c>
      <c r="J82" s="330" t="str">
        <f t="shared" si="19"/>
        <v/>
      </c>
      <c r="K82" s="735"/>
    </row>
    <row r="83" spans="1:11" ht="12.75" customHeight="1" x14ac:dyDescent="0.25">
      <c r="A83" s="87" t="s">
        <v>831</v>
      </c>
      <c r="B83" s="169"/>
      <c r="C83" s="516">
        <f t="shared" ref="C83:K83" si="20">SUM(C71:C82)</f>
        <v>0</v>
      </c>
      <c r="D83" s="475">
        <f t="shared" si="20"/>
        <v>0</v>
      </c>
      <c r="E83" s="430">
        <f t="shared" si="20"/>
        <v>0</v>
      </c>
      <c r="F83" s="430">
        <f>SUM(F71:F82)</f>
        <v>0</v>
      </c>
      <c r="G83" s="430">
        <f>SUM(G71:G82)</f>
        <v>0</v>
      </c>
      <c r="H83" s="430">
        <f>SUM(H71:H82)</f>
        <v>0</v>
      </c>
      <c r="I83" s="430">
        <f t="shared" si="18"/>
        <v>0</v>
      </c>
      <c r="J83" s="431" t="str">
        <f>IF(I83=0,"",I83/H83)</f>
        <v/>
      </c>
      <c r="K83" s="513">
        <f t="shared" si="20"/>
        <v>0</v>
      </c>
    </row>
    <row r="84" spans="1:11" ht="12.75" customHeight="1" x14ac:dyDescent="0.25">
      <c r="A84" s="565" t="s">
        <v>722</v>
      </c>
      <c r="B84" s="169">
        <v>4</v>
      </c>
      <c r="C84" s="173"/>
      <c r="D84" s="303" t="str">
        <f>IF(D83=0,"",(D83/C83)-1)</f>
        <v/>
      </c>
      <c r="E84" s="303" t="str">
        <f>IF(E83=0,"",(E83/C83)-1)</f>
        <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c r="E87" s="733"/>
      <c r="F87" s="733"/>
      <c r="G87" s="733"/>
      <c r="H87" s="733"/>
      <c r="I87" s="44">
        <f t="shared" ref="I87:I99" si="21">G87-H87</f>
        <v>0</v>
      </c>
      <c r="J87" s="330" t="str">
        <f t="shared" ref="J87:J98" si="22">IF(I87=0,"",I87/H87)</f>
        <v/>
      </c>
      <c r="K87" s="735"/>
    </row>
    <row r="88" spans="1:11" ht="12.75" customHeight="1" x14ac:dyDescent="0.25">
      <c r="A88" s="518" t="s">
        <v>1048</v>
      </c>
      <c r="B88" s="169"/>
      <c r="C88" s="748"/>
      <c r="D88" s="745"/>
      <c r="E88" s="733"/>
      <c r="F88" s="733"/>
      <c r="G88" s="733"/>
      <c r="H88" s="733"/>
      <c r="I88" s="44">
        <f t="shared" si="21"/>
        <v>0</v>
      </c>
      <c r="J88" s="330" t="str">
        <f t="shared" si="22"/>
        <v/>
      </c>
      <c r="K88" s="735"/>
    </row>
    <row r="89" spans="1:11" ht="12.75" customHeight="1" x14ac:dyDescent="0.25">
      <c r="A89" s="518" t="s">
        <v>427</v>
      </c>
      <c r="B89" s="169"/>
      <c r="C89" s="748"/>
      <c r="D89" s="745"/>
      <c r="E89" s="733"/>
      <c r="F89" s="733"/>
      <c r="G89" s="733"/>
      <c r="H89" s="733"/>
      <c r="I89" s="44">
        <f>G89-H89</f>
        <v>0</v>
      </c>
      <c r="J89" s="330" t="str">
        <f>IF(I89=0,"",I89/H89)</f>
        <v/>
      </c>
      <c r="K89" s="735"/>
    </row>
    <row r="90" spans="1:11" ht="12.75" customHeight="1" x14ac:dyDescent="0.25">
      <c r="A90" s="518" t="s">
        <v>539</v>
      </c>
      <c r="B90" s="169"/>
      <c r="C90" s="748"/>
      <c r="D90" s="745"/>
      <c r="E90" s="733"/>
      <c r="F90" s="733"/>
      <c r="G90" s="733"/>
      <c r="H90" s="733"/>
      <c r="I90" s="44">
        <f>G90-H90</f>
        <v>0</v>
      </c>
      <c r="J90" s="330" t="str">
        <f>IF(I90=0,"",I90/H90)</f>
        <v/>
      </c>
      <c r="K90" s="735"/>
    </row>
    <row r="91" spans="1:11" ht="12.75" customHeight="1" x14ac:dyDescent="0.25">
      <c r="A91" s="518" t="s">
        <v>429</v>
      </c>
      <c r="B91" s="169"/>
      <c r="C91" s="748"/>
      <c r="D91" s="745"/>
      <c r="E91" s="733"/>
      <c r="F91" s="733"/>
      <c r="G91" s="733"/>
      <c r="H91" s="733"/>
      <c r="I91" s="44">
        <f>G91-H91</f>
        <v>0</v>
      </c>
      <c r="J91" s="330" t="str">
        <f>IF(I91=0,"",I91/H91)</f>
        <v/>
      </c>
      <c r="K91" s="735"/>
    </row>
    <row r="92" spans="1:11" ht="12.75" customHeight="1" x14ac:dyDescent="0.25">
      <c r="A92" s="518" t="s">
        <v>1049</v>
      </c>
      <c r="B92" s="169"/>
      <c r="C92" s="748"/>
      <c r="D92" s="745"/>
      <c r="E92" s="733"/>
      <c r="F92" s="733"/>
      <c r="G92" s="733"/>
      <c r="H92" s="733"/>
      <c r="I92" s="44">
        <f>G92-H92</f>
        <v>0</v>
      </c>
      <c r="J92" s="330" t="str">
        <f>IF(I92=0,"",I92/H92)</f>
        <v/>
      </c>
      <c r="K92" s="735"/>
    </row>
    <row r="93" spans="1:11" ht="12.75" customHeight="1" x14ac:dyDescent="0.25">
      <c r="A93" s="518" t="s">
        <v>1050</v>
      </c>
      <c r="B93" s="169"/>
      <c r="C93" s="748"/>
      <c r="D93" s="745"/>
      <c r="E93" s="733"/>
      <c r="F93" s="733"/>
      <c r="G93" s="733"/>
      <c r="H93" s="733"/>
      <c r="I93" s="44">
        <f t="shared" si="21"/>
        <v>0</v>
      </c>
      <c r="J93" s="330" t="str">
        <f t="shared" si="22"/>
        <v/>
      </c>
      <c r="K93" s="735"/>
    </row>
    <row r="94" spans="1:11" ht="12.75" customHeight="1" x14ac:dyDescent="0.25">
      <c r="A94" s="518" t="s">
        <v>1051</v>
      </c>
      <c r="B94" s="169"/>
      <c r="C94" s="748"/>
      <c r="D94" s="745"/>
      <c r="E94" s="733"/>
      <c r="F94" s="733"/>
      <c r="G94" s="733"/>
      <c r="H94" s="733"/>
      <c r="I94" s="44">
        <f t="shared" si="21"/>
        <v>0</v>
      </c>
      <c r="J94" s="330" t="str">
        <f t="shared" si="22"/>
        <v/>
      </c>
      <c r="K94" s="735"/>
    </row>
    <row r="95" spans="1:11" ht="12.75" customHeight="1" x14ac:dyDescent="0.25">
      <c r="A95" s="518" t="s">
        <v>1052</v>
      </c>
      <c r="B95" s="169"/>
      <c r="C95" s="748"/>
      <c r="D95" s="745"/>
      <c r="E95" s="733"/>
      <c r="F95" s="733"/>
      <c r="G95" s="733"/>
      <c r="H95" s="733"/>
      <c r="I95" s="44">
        <f t="shared" si="21"/>
        <v>0</v>
      </c>
      <c r="J95" s="330" t="str">
        <f t="shared" si="22"/>
        <v/>
      </c>
      <c r="K95" s="735"/>
    </row>
    <row r="96" spans="1:11" ht="12.75" customHeight="1" x14ac:dyDescent="0.25">
      <c r="A96" s="518" t="s">
        <v>1053</v>
      </c>
      <c r="B96" s="169"/>
      <c r="C96" s="748"/>
      <c r="D96" s="745"/>
      <c r="E96" s="733"/>
      <c r="F96" s="733"/>
      <c r="G96" s="733"/>
      <c r="H96" s="733"/>
      <c r="I96" s="44">
        <f t="shared" si="21"/>
        <v>0</v>
      </c>
      <c r="J96" s="330" t="str">
        <f t="shared" si="22"/>
        <v/>
      </c>
      <c r="K96" s="735"/>
    </row>
    <row r="97" spans="1:14" ht="12.75" customHeight="1" x14ac:dyDescent="0.25">
      <c r="A97" s="518" t="s">
        <v>1054</v>
      </c>
      <c r="B97" s="169"/>
      <c r="C97" s="748"/>
      <c r="D97" s="745"/>
      <c r="E97" s="733"/>
      <c r="F97" s="733"/>
      <c r="G97" s="733"/>
      <c r="H97" s="733"/>
      <c r="I97" s="44">
        <f t="shared" si="21"/>
        <v>0</v>
      </c>
      <c r="J97" s="330" t="str">
        <f t="shared" si="22"/>
        <v/>
      </c>
      <c r="K97" s="735"/>
    </row>
    <row r="98" spans="1:14" ht="12.75" customHeight="1" x14ac:dyDescent="0.25">
      <c r="A98" s="518" t="s">
        <v>1055</v>
      </c>
      <c r="B98" s="169"/>
      <c r="C98" s="748"/>
      <c r="D98" s="745"/>
      <c r="E98" s="733"/>
      <c r="F98" s="733"/>
      <c r="G98" s="733"/>
      <c r="H98" s="733"/>
      <c r="I98" s="44">
        <f t="shared" si="21"/>
        <v>0</v>
      </c>
      <c r="J98" s="330" t="str">
        <f t="shared" si="22"/>
        <v/>
      </c>
      <c r="K98" s="735"/>
    </row>
    <row r="99" spans="1:14" ht="12.75" customHeight="1" x14ac:dyDescent="0.25">
      <c r="A99" s="87" t="s">
        <v>510</v>
      </c>
      <c r="B99" s="169"/>
      <c r="C99" s="516">
        <f t="shared" ref="C99:H99" si="23">SUM(C87:C98)</f>
        <v>0</v>
      </c>
      <c r="D99" s="475">
        <f t="shared" si="23"/>
        <v>0</v>
      </c>
      <c r="E99" s="430">
        <f t="shared" si="23"/>
        <v>0</v>
      </c>
      <c r="F99" s="430">
        <f t="shared" si="23"/>
        <v>0</v>
      </c>
      <c r="G99" s="430">
        <f t="shared" si="23"/>
        <v>0</v>
      </c>
      <c r="H99" s="430">
        <f t="shared" si="23"/>
        <v>0</v>
      </c>
      <c r="I99" s="430">
        <f t="shared" si="21"/>
        <v>0</v>
      </c>
      <c r="J99" s="431" t="str">
        <f>IF(I99=0,"",I99/H99)</f>
        <v/>
      </c>
      <c r="K99" s="513">
        <f>SUM(K87:K98)</f>
        <v>0</v>
      </c>
    </row>
    <row r="100" spans="1:14" ht="12.75" customHeight="1" x14ac:dyDescent="0.25">
      <c r="A100" s="565" t="s">
        <v>722</v>
      </c>
      <c r="B100" s="169">
        <v>4</v>
      </c>
      <c r="C100" s="399"/>
      <c r="D100" s="303" t="str">
        <f>IF(D99=0,"",(D99/C99)-1)</f>
        <v/>
      </c>
      <c r="E100" s="303" t="str">
        <f>IF(E99=0,"",(E99/C99)-1)</f>
        <v/>
      </c>
      <c r="F100" s="303"/>
      <c r="G100" s="303"/>
      <c r="H100" s="303"/>
      <c r="I100" s="401"/>
      <c r="J100" s="403"/>
      <c r="K100" s="312" t="str">
        <f>IF(K99=0,"",(K99/C99)-1)</f>
        <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4">C67+C83+C99</f>
        <v>0</v>
      </c>
      <c r="D102" s="475">
        <f t="shared" si="24"/>
        <v>0</v>
      </c>
      <c r="E102" s="430">
        <f t="shared" si="24"/>
        <v>0</v>
      </c>
      <c r="F102" s="430">
        <f t="shared" si="24"/>
        <v>0</v>
      </c>
      <c r="G102" s="430">
        <f t="shared" si="24"/>
        <v>0</v>
      </c>
      <c r="H102" s="430">
        <f t="shared" si="24"/>
        <v>0</v>
      </c>
      <c r="I102" s="430">
        <f>G102-H102</f>
        <v>0</v>
      </c>
      <c r="J102" s="431" t="str">
        <f>IF(I102=0,"",I102/H102)</f>
        <v/>
      </c>
      <c r="K102" s="513">
        <f>K67+K83+K99</f>
        <v>0</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25">C49+C102</f>
        <v>0</v>
      </c>
      <c r="D104" s="56">
        <f t="shared" si="25"/>
        <v>1483847874.727263</v>
      </c>
      <c r="E104" s="55">
        <f t="shared" si="25"/>
        <v>1483847874.727263</v>
      </c>
      <c r="F104" s="55">
        <f t="shared" si="25"/>
        <v>110775171.10000001</v>
      </c>
      <c r="G104" s="55">
        <f t="shared" si="25"/>
        <v>619191596.87999988</v>
      </c>
      <c r="H104" s="55">
        <f t="shared" si="25"/>
        <v>618269947.8030262</v>
      </c>
      <c r="I104" s="55">
        <f>G104-H104</f>
        <v>921649.07697367668</v>
      </c>
      <c r="J104" s="332">
        <f>IF(I104=0,"",I104/H104)</f>
        <v>1.490690401900795E-3</v>
      </c>
      <c r="K104" s="235">
        <f>K49+K102</f>
        <v>1483847874.727263</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26">C30+C46+C83+C99</f>
        <v>0</v>
      </c>
      <c r="D106" s="56">
        <f t="shared" si="26"/>
        <v>1430197473.6117828</v>
      </c>
      <c r="E106" s="55">
        <f t="shared" si="26"/>
        <v>1430197473.6117828</v>
      </c>
      <c r="F106" s="55">
        <f t="shared" si="26"/>
        <v>106761533.07000001</v>
      </c>
      <c r="G106" s="55">
        <f t="shared" si="26"/>
        <v>597565465.64999986</v>
      </c>
      <c r="H106" s="55">
        <f t="shared" si="26"/>
        <v>595915614.00490963</v>
      </c>
      <c r="I106" s="55">
        <f t="shared" si="26"/>
        <v>1649851.645090322</v>
      </c>
      <c r="J106" s="888">
        <f>IF(I106=0,"",I106/H106)</f>
        <v>2.7685994565611921E-3</v>
      </c>
      <c r="K106" s="235">
        <f>K30+K46+K83+K99</f>
        <v>1430197473.6117828</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E17" activePane="bottomRight" state="frozen"/>
      <selection pane="topRight"/>
      <selection pane="bottomLeft"/>
      <selection pane="bottomRight" activeCell="O12" sqref="O12"/>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M05 November</v>
      </c>
      <c r="B1" s="68"/>
    </row>
    <row r="2" spans="1:17" ht="25.5" customHeight="1" x14ac:dyDescent="0.25">
      <c r="A2" s="1043" t="str">
        <f>desc</f>
        <v>Description</v>
      </c>
      <c r="B2" s="1036" t="str">
        <f>head27</f>
        <v>Ref</v>
      </c>
      <c r="C2" s="1038" t="str">
        <f>Head2</f>
        <v>Budget Year 2020/21</v>
      </c>
      <c r="D2" s="1039"/>
      <c r="E2" s="1039"/>
      <c r="F2" s="1039"/>
      <c r="G2" s="1039"/>
      <c r="H2" s="1039"/>
      <c r="I2" s="1039"/>
      <c r="J2" s="1039"/>
      <c r="K2" s="1039"/>
      <c r="L2" s="1039"/>
      <c r="M2" s="1039"/>
      <c r="N2" s="1090"/>
      <c r="O2" s="1038" t="str">
        <f>'Template names'!B5</f>
        <v>2020/21 Medium Term Revenue &amp; Expenditure Framework</v>
      </c>
      <c r="P2" s="1039"/>
      <c r="Q2" s="1040"/>
    </row>
    <row r="3" spans="1:17" ht="12.75" customHeight="1" x14ac:dyDescent="0.25">
      <c r="A3" s="1044"/>
      <c r="B3" s="1047"/>
      <c r="C3" s="143" t="s">
        <v>782</v>
      </c>
      <c r="D3" s="27" t="s">
        <v>905</v>
      </c>
      <c r="E3" s="27" t="s">
        <v>3</v>
      </c>
      <c r="F3" s="27" t="s">
        <v>906</v>
      </c>
      <c r="G3" s="27" t="s">
        <v>4</v>
      </c>
      <c r="H3" s="27" t="s">
        <v>5</v>
      </c>
      <c r="I3" s="27" t="s">
        <v>909</v>
      </c>
      <c r="J3" s="27" t="s">
        <v>6</v>
      </c>
      <c r="K3" s="27" t="s">
        <v>911</v>
      </c>
      <c r="L3" s="27" t="s">
        <v>912</v>
      </c>
      <c r="M3" s="27" t="s">
        <v>913</v>
      </c>
      <c r="N3" s="163" t="s">
        <v>914</v>
      </c>
      <c r="O3" s="1088" t="str">
        <f>Head9</f>
        <v>Budget Year 2020/21</v>
      </c>
      <c r="P3" s="1084" t="str">
        <f>Head10</f>
        <v>Budget Year +1 2021/22</v>
      </c>
      <c r="Q3" s="1086"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89"/>
      <c r="P4" s="1085"/>
      <c r="Q4" s="1087"/>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14" activePane="bottomRight" state="frozen"/>
      <selection pane="topRight"/>
      <selection pane="bottomLeft"/>
      <selection pane="bottomRight" activeCell="F39" sqref="F39:G4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"&amp;S71P&amp; " - "&amp;Head57</f>
        <v>KZN225 Msunduzi - NOT REQUIRED - municipality does not have entities or this is the parent municipality's budget - M05 November</v>
      </c>
      <c r="B1" s="1054"/>
      <c r="C1" s="1054"/>
      <c r="D1" s="1054"/>
      <c r="E1" s="1054"/>
      <c r="F1" s="1054"/>
      <c r="G1" s="1054"/>
      <c r="H1" s="1054"/>
      <c r="I1" s="1054"/>
      <c r="J1" s="1054"/>
      <c r="K1" s="1054"/>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93714917.719999984</v>
      </c>
      <c r="G6" s="733">
        <v>504592894.10999995</v>
      </c>
      <c r="H6" s="733">
        <f>E6/12*5</f>
        <v>529081080.84241658</v>
      </c>
      <c r="I6" s="44">
        <f t="shared" ref="I6:I21" si="0">G6-H6</f>
        <v>-24488186.73241663</v>
      </c>
      <c r="J6" s="330">
        <f>IF(I6=0,"",I6/H6)</f>
        <v>-4.6284374208629624E-2</v>
      </c>
      <c r="K6" s="735">
        <f>E6</f>
        <v>1269794594.0217998</v>
      </c>
    </row>
    <row r="7" spans="1:11" ht="12.75" customHeight="1" x14ac:dyDescent="0.25">
      <c r="A7" s="39" t="str">
        <f>'C4-FinPerf RE'!A7</f>
        <v>Service charges - electricity revenue</v>
      </c>
      <c r="B7" s="169"/>
      <c r="C7" s="748"/>
      <c r="D7" s="745">
        <v>2584775677.1378117</v>
      </c>
      <c r="E7" s="733">
        <v>2584775677.1378117</v>
      </c>
      <c r="F7" s="733">
        <v>179319053.10999998</v>
      </c>
      <c r="G7" s="733">
        <v>1006480217.1799999</v>
      </c>
      <c r="H7" s="733">
        <f>E7/12*5</f>
        <v>1076989865.4740882</v>
      </c>
      <c r="I7" s="44">
        <f t="shared" si="0"/>
        <v>-70509648.294088244</v>
      </c>
      <c r="J7" s="330">
        <f t="shared" ref="J7:J22" si="1">IF(I7=0,"",I7/H7)</f>
        <v>-6.5469184580534634E-2</v>
      </c>
      <c r="K7" s="735">
        <f>E7</f>
        <v>2584775677.1378117</v>
      </c>
    </row>
    <row r="8" spans="1:11" ht="12.75" customHeight="1" x14ac:dyDescent="0.25">
      <c r="A8" s="86" t="str">
        <f>'C4-FinPerf RE'!A8</f>
        <v>Service charges - water revenue</v>
      </c>
      <c r="B8" s="171"/>
      <c r="C8" s="748"/>
      <c r="D8" s="745">
        <v>722633094.82360029</v>
      </c>
      <c r="E8" s="733">
        <v>722633094.82360029</v>
      </c>
      <c r="F8" s="733">
        <v>69694720.760000005</v>
      </c>
      <c r="G8" s="733">
        <v>329972966.10999995</v>
      </c>
      <c r="H8" s="733">
        <f>E8/12*5</f>
        <v>301097122.84316677</v>
      </c>
      <c r="I8" s="44">
        <f t="shared" si="0"/>
        <v>28875843.266833186</v>
      </c>
      <c r="J8" s="330">
        <f t="shared" si="1"/>
        <v>9.5902089645253166E-2</v>
      </c>
      <c r="K8" s="735">
        <f>E8</f>
        <v>722633094.82360029</v>
      </c>
    </row>
    <row r="9" spans="1:11" ht="12.75" customHeight="1" x14ac:dyDescent="0.25">
      <c r="A9" s="86" t="str">
        <f>'C4-FinPerf RE'!A9</f>
        <v>Service charges - sanitation revenue</v>
      </c>
      <c r="B9" s="171"/>
      <c r="C9" s="748"/>
      <c r="D9" s="745">
        <v>152021749.3608</v>
      </c>
      <c r="E9" s="733">
        <v>152021749.3608</v>
      </c>
      <c r="F9" s="733">
        <v>14883518.35</v>
      </c>
      <c r="G9" s="733">
        <v>65641830.189999998</v>
      </c>
      <c r="H9" s="733">
        <f>E9/12*5</f>
        <v>63342395.566999994</v>
      </c>
      <c r="I9" s="44">
        <f t="shared" si="0"/>
        <v>2299434.6230000034</v>
      </c>
      <c r="J9" s="330">
        <f t="shared" si="1"/>
        <v>3.6301668138960609E-2</v>
      </c>
      <c r="K9" s="735">
        <f>E9</f>
        <v>152021749.3608</v>
      </c>
    </row>
    <row r="10" spans="1:11" ht="12.75" customHeight="1" x14ac:dyDescent="0.25">
      <c r="A10" s="86" t="str">
        <f>'C4-FinPerf RE'!A10</f>
        <v>Service charges - refuse revenue</v>
      </c>
      <c r="B10" s="171"/>
      <c r="C10" s="748"/>
      <c r="D10" s="745">
        <v>116333080.9707</v>
      </c>
      <c r="E10" s="733">
        <v>116333080.9707</v>
      </c>
      <c r="F10" s="733">
        <v>8911889.8300000001</v>
      </c>
      <c r="G10" s="733">
        <v>44520979.920000009</v>
      </c>
      <c r="H10" s="733">
        <f>E10/12*5</f>
        <v>48472117.071124993</v>
      </c>
      <c r="I10" s="44">
        <f t="shared" si="0"/>
        <v>-3951137.151124984</v>
      </c>
      <c r="J10" s="330">
        <f t="shared" si="1"/>
        <v>-8.151360802597768E-2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1628126.6100000003</v>
      </c>
      <c r="G12" s="733">
        <v>1341946.6700000002</v>
      </c>
      <c r="H12" s="733">
        <f>E12/12*5</f>
        <v>12116165.677916665</v>
      </c>
      <c r="I12" s="44">
        <f t="shared" si="0"/>
        <v>-10774219.007916665</v>
      </c>
      <c r="J12" s="330">
        <f t="shared" si="1"/>
        <v>-0.88924328820908438</v>
      </c>
      <c r="K12" s="735">
        <f>E12</f>
        <v>29078797.626999993</v>
      </c>
    </row>
    <row r="13" spans="1:11" ht="12.75" customHeight="1" x14ac:dyDescent="0.25">
      <c r="A13" s="86" t="str">
        <f>'C4-FinPerf RE'!A13</f>
        <v>Interest earned - external investments</v>
      </c>
      <c r="B13" s="171"/>
      <c r="C13" s="748"/>
      <c r="D13" s="745">
        <v>15260422.42725</v>
      </c>
      <c r="E13" s="733">
        <v>15260422.42725</v>
      </c>
      <c r="F13" s="733">
        <v>397812.61</v>
      </c>
      <c r="G13" s="733">
        <v>3066498.5100000002</v>
      </c>
      <c r="H13" s="733">
        <f>E13/12*5</f>
        <v>6358509.3446875</v>
      </c>
      <c r="I13" s="44">
        <f t="shared" si="0"/>
        <v>-3292010.8346874998</v>
      </c>
      <c r="J13" s="330">
        <f t="shared" si="1"/>
        <v>-0.51773311262614674</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16922482.57</v>
      </c>
      <c r="G14" s="733">
        <v>74041448.699999988</v>
      </c>
      <c r="H14" s="733">
        <f>E14/12*5</f>
        <v>84357414.118999988</v>
      </c>
      <c r="I14" s="44">
        <f t="shared" si="0"/>
        <v>-10315965.419</v>
      </c>
      <c r="J14" s="330">
        <f t="shared" si="1"/>
        <v>-0.12228878192552982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1"/>
        <v/>
      </c>
      <c r="K15" s="735"/>
    </row>
    <row r="16" spans="1:11" ht="12.75" customHeight="1" x14ac:dyDescent="0.25">
      <c r="A16" s="86" t="str">
        <f>'C4-FinPerf RE'!A16</f>
        <v>Fines, penalties and forfeits</v>
      </c>
      <c r="B16" s="171"/>
      <c r="C16" s="748"/>
      <c r="D16" s="745">
        <v>1798551.4436999999</v>
      </c>
      <c r="E16" s="733">
        <v>1798551.4436999999</v>
      </c>
      <c r="F16" s="733">
        <v>62825.66</v>
      </c>
      <c r="G16" s="733">
        <v>-229168.70999999996</v>
      </c>
      <c r="H16" s="733">
        <f>E16/12*5</f>
        <v>749396.43487500004</v>
      </c>
      <c r="I16" s="44">
        <f t="shared" si="0"/>
        <v>-978565.144875</v>
      </c>
      <c r="J16" s="330">
        <f t="shared" si="1"/>
        <v>-1.3058043771428209</v>
      </c>
      <c r="K16" s="735">
        <f>E16</f>
        <v>1798551.4436999999</v>
      </c>
    </row>
    <row r="17" spans="1:11" ht="12.75" customHeight="1" x14ac:dyDescent="0.25">
      <c r="A17" s="86" t="str">
        <f>'C4-FinPerf RE'!A17</f>
        <v>Licences and permits</v>
      </c>
      <c r="B17" s="171"/>
      <c r="C17" s="748"/>
      <c r="D17" s="745">
        <v>1119569.0055</v>
      </c>
      <c r="E17" s="733">
        <v>1119569.0055</v>
      </c>
      <c r="F17" s="733">
        <v>61319.869999999995</v>
      </c>
      <c r="G17" s="733">
        <v>254632.97999999998</v>
      </c>
      <c r="H17" s="733">
        <f>E17/12*5</f>
        <v>466487.08562499995</v>
      </c>
      <c r="I17" s="44">
        <f t="shared" si="0"/>
        <v>-211854.10562499997</v>
      </c>
      <c r="J17" s="330">
        <f t="shared" si="1"/>
        <v>-0.45414784707524664</v>
      </c>
      <c r="K17" s="735">
        <f>E17</f>
        <v>1119569.0055</v>
      </c>
    </row>
    <row r="18" spans="1:11" ht="12.75" customHeight="1" x14ac:dyDescent="0.25">
      <c r="A18" s="86" t="str">
        <f>'C4-FinPerf RE'!A18</f>
        <v>Agency services</v>
      </c>
      <c r="B18" s="171"/>
      <c r="C18" s="748"/>
      <c r="D18" s="745">
        <v>601902.02599999995</v>
      </c>
      <c r="E18" s="733">
        <v>601902.02599999995</v>
      </c>
      <c r="F18" s="733">
        <v>329180</v>
      </c>
      <c r="G18" s="733">
        <v>329180</v>
      </c>
      <c r="H18" s="733">
        <f>E18/12*5</f>
        <v>250792.51083333333</v>
      </c>
      <c r="I18" s="44">
        <f t="shared" si="0"/>
        <v>78387.489166666666</v>
      </c>
      <c r="J18" s="330">
        <f t="shared" si="1"/>
        <v>0.3125591306781878</v>
      </c>
      <c r="K18" s="735">
        <f>E18</f>
        <v>601902.02599999995</v>
      </c>
    </row>
    <row r="19" spans="1:11" ht="12.75" customHeight="1" x14ac:dyDescent="0.25">
      <c r="A19" s="86" t="str">
        <f>'C4-FinPerf RE'!A19</f>
        <v>Transfers and subsidies</v>
      </c>
      <c r="B19" s="171"/>
      <c r="C19" s="748"/>
      <c r="D19" s="745">
        <v>675483240</v>
      </c>
      <c r="E19" s="733">
        <v>764481240</v>
      </c>
      <c r="F19" s="733">
        <v>5348308.3699999992</v>
      </c>
      <c r="G19" s="733">
        <v>293615675.90000004</v>
      </c>
      <c r="H19" s="733">
        <f>E19/12*5</f>
        <v>318533850</v>
      </c>
      <c r="I19" s="44">
        <f t="shared" si="0"/>
        <v>-24918174.099999964</v>
      </c>
      <c r="J19" s="330">
        <f t="shared" si="1"/>
        <v>-7.8227711434750075E-2</v>
      </c>
      <c r="K19" s="735">
        <f>E19</f>
        <v>764481240</v>
      </c>
    </row>
    <row r="20" spans="1:11" ht="12.75" customHeight="1" x14ac:dyDescent="0.25">
      <c r="A20" s="86" t="str">
        <f>'C4-FinPerf RE'!A20</f>
        <v>Other revenue</v>
      </c>
      <c r="B20" s="171"/>
      <c r="C20" s="748"/>
      <c r="D20" s="745">
        <v>146451785.14229998</v>
      </c>
      <c r="E20" s="733">
        <v>146451785.14229998</v>
      </c>
      <c r="F20" s="733">
        <v>3333305.6</v>
      </c>
      <c r="G20" s="733">
        <v>61034260.999999963</v>
      </c>
      <c r="H20" s="733">
        <f>E20/12*5</f>
        <v>61021577.142624997</v>
      </c>
      <c r="I20" s="44">
        <f t="shared" si="0"/>
        <v>12683.857374966145</v>
      </c>
      <c r="J20" s="330">
        <f t="shared" si="1"/>
        <v>2.0785856362447527E-4</v>
      </c>
      <c r="K20" s="735">
        <f>E20</f>
        <v>146451785.14229998</v>
      </c>
    </row>
    <row r="21" spans="1:11" ht="12.75" customHeight="1" x14ac:dyDescent="0.25">
      <c r="A21" s="39" t="str">
        <f>'C4-FinPerf RE'!A21</f>
        <v>Gains</v>
      </c>
      <c r="B21" s="169"/>
      <c r="C21" s="748"/>
      <c r="D21" s="745"/>
      <c r="E21" s="733"/>
      <c r="F21" s="733"/>
      <c r="G21" s="733"/>
      <c r="H21" s="733"/>
      <c r="I21" s="44">
        <f t="shared" si="0"/>
        <v>0</v>
      </c>
      <c r="J21" s="330" t="str">
        <f t="shared" si="1"/>
        <v/>
      </c>
      <c r="K21" s="735"/>
    </row>
    <row r="22" spans="1:11" ht="12.75" customHeight="1" x14ac:dyDescent="0.25">
      <c r="A22" s="547" t="s">
        <v>134</v>
      </c>
      <c r="B22" s="547"/>
      <c r="C22" s="243">
        <f t="shared" ref="C22:H22" si="2">SUM(C6:C10)+SUM(C12:C21)</f>
        <v>0</v>
      </c>
      <c r="D22" s="74">
        <f t="shared" si="2"/>
        <v>5917810257.8720617</v>
      </c>
      <c r="E22" s="73">
        <f t="shared" si="2"/>
        <v>6006808257.8720617</v>
      </c>
      <c r="F22" s="73">
        <f t="shared" si="2"/>
        <v>394607461.06</v>
      </c>
      <c r="G22" s="73">
        <f t="shared" si="2"/>
        <v>2384663362.5599999</v>
      </c>
      <c r="H22" s="73">
        <f t="shared" si="2"/>
        <v>2502836774.113359</v>
      </c>
      <c r="I22" s="73">
        <f>G22-H22</f>
        <v>-118173411.55335903</v>
      </c>
      <c r="J22" s="331">
        <f t="shared" si="1"/>
        <v>-4.7215788410821351E-2</v>
      </c>
      <c r="K22" s="145">
        <f>SUM(K6:K10)+SUM(K12:K21)</f>
        <v>6006808257.8720617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1478324304.2495084</v>
      </c>
      <c r="F25" s="733">
        <v>106761533.07000008</v>
      </c>
      <c r="G25" s="733">
        <v>597565465.65000021</v>
      </c>
      <c r="H25" s="733">
        <f t="shared" ref="H25:H34" si="3">E25/12*5</f>
        <v>615968460.10396183</v>
      </c>
      <c r="I25" s="44">
        <f t="shared" ref="I25:I44" si="4">G25-H25</f>
        <v>-18402994.453961611</v>
      </c>
      <c r="J25" s="330">
        <f t="shared" ref="J25:J44" si="5">IF(I25=0,"",I25/H25)</f>
        <v>-2.9876520708309633E-2</v>
      </c>
      <c r="K25" s="735">
        <f t="shared" ref="K25:K34" si="6">E25</f>
        <v>1478324304.2495084</v>
      </c>
    </row>
    <row r="26" spans="1:11" ht="12.75" customHeight="1" x14ac:dyDescent="0.25">
      <c r="A26" s="39" t="str">
        <f>'C4-FinPerf RE'!A26</f>
        <v>Remuneration of councillors</v>
      </c>
      <c r="B26" s="169"/>
      <c r="C26" s="748"/>
      <c r="D26" s="745">
        <v>53650401.115479976</v>
      </c>
      <c r="E26" s="733">
        <v>53650401.439999998</v>
      </c>
      <c r="F26" s="733">
        <v>4013638.03</v>
      </c>
      <c r="G26" s="733">
        <v>21626131.23</v>
      </c>
      <c r="H26" s="733">
        <f t="shared" si="3"/>
        <v>22354333.93333333</v>
      </c>
      <c r="I26" s="44">
        <f t="shared" si="4"/>
        <v>-728202.70333332941</v>
      </c>
      <c r="J26" s="330">
        <f t="shared" si="5"/>
        <v>-3.2575459662767266E-2</v>
      </c>
      <c r="K26" s="735">
        <f t="shared" si="6"/>
        <v>53650401.439999998</v>
      </c>
    </row>
    <row r="27" spans="1:11" ht="12.75" customHeight="1" x14ac:dyDescent="0.25">
      <c r="A27" s="39" t="str">
        <f>'C4-FinPerf RE'!A27</f>
        <v>Debt impairment</v>
      </c>
      <c r="B27" s="171"/>
      <c r="C27" s="748"/>
      <c r="D27" s="745">
        <v>123904143.27200001</v>
      </c>
      <c r="E27" s="733">
        <v>123904143.27200001</v>
      </c>
      <c r="F27" s="733">
        <v>2058302.32</v>
      </c>
      <c r="G27" s="733">
        <v>5026011.5600000005</v>
      </c>
      <c r="H27" s="733">
        <f t="shared" si="3"/>
        <v>51626726.363333344</v>
      </c>
      <c r="I27" s="44">
        <f t="shared" si="4"/>
        <v>-46600714.803333342</v>
      </c>
      <c r="J27" s="330">
        <f t="shared" si="5"/>
        <v>-0.90264709939908938</v>
      </c>
      <c r="K27" s="735">
        <f t="shared" si="6"/>
        <v>123904143.27200001</v>
      </c>
    </row>
    <row r="28" spans="1:11" ht="12.75" customHeight="1" x14ac:dyDescent="0.25">
      <c r="A28" s="39" t="str">
        <f>'C4-FinPerf RE'!A28</f>
        <v>Depreciation &amp; asset impairment</v>
      </c>
      <c r="B28" s="171"/>
      <c r="C28" s="748"/>
      <c r="D28" s="745">
        <v>488991448.27473986</v>
      </c>
      <c r="E28" s="733">
        <v>481491449.27473986</v>
      </c>
      <c r="F28" s="733">
        <v>34708045.85999997</v>
      </c>
      <c r="G28" s="733">
        <v>176512636.59999999</v>
      </c>
      <c r="H28" s="733">
        <f t="shared" si="3"/>
        <v>200621437.1978083</v>
      </c>
      <c r="I28" s="44">
        <f t="shared" si="4"/>
        <v>-24108800.597808301</v>
      </c>
      <c r="J28" s="330">
        <f t="shared" si="5"/>
        <v>-0.12017061055164088</v>
      </c>
      <c r="K28" s="735">
        <f t="shared" si="6"/>
        <v>481491449.27473986</v>
      </c>
    </row>
    <row r="29" spans="1:11" ht="12.75" customHeight="1" x14ac:dyDescent="0.25">
      <c r="A29" s="39" t="str">
        <f>'C4-FinPerf RE'!A29</f>
        <v>Finance charges</v>
      </c>
      <c r="B29" s="171"/>
      <c r="C29" s="748"/>
      <c r="D29" s="745">
        <v>31793212.220000003</v>
      </c>
      <c r="E29" s="733">
        <v>36505334.219999969</v>
      </c>
      <c r="F29" s="733">
        <v>2965268.6899999995</v>
      </c>
      <c r="G29" s="733">
        <v>16438897.84</v>
      </c>
      <c r="H29" s="733">
        <f t="shared" si="3"/>
        <v>15210555.924999986</v>
      </c>
      <c r="I29" s="44">
        <f t="shared" si="4"/>
        <v>1228341.915000014</v>
      </c>
      <c r="J29" s="330">
        <f t="shared" si="5"/>
        <v>8.0755885653141582E-2</v>
      </c>
      <c r="K29" s="735">
        <f t="shared" si="6"/>
        <v>36505334.219999969</v>
      </c>
    </row>
    <row r="30" spans="1:11" ht="12.75" customHeight="1" x14ac:dyDescent="0.25">
      <c r="A30" s="39" t="str">
        <f>'C4-FinPerf RE'!A30</f>
        <v>Bulk purchases</v>
      </c>
      <c r="B30" s="171"/>
      <c r="C30" s="748"/>
      <c r="D30" s="745">
        <v>2608224084.5041752</v>
      </c>
      <c r="E30" s="733">
        <v>2608224084.5041752</v>
      </c>
      <c r="F30" s="733">
        <v>223446118.33000001</v>
      </c>
      <c r="G30" s="733">
        <v>1206099545.1800001</v>
      </c>
      <c r="H30" s="733">
        <f t="shared" si="3"/>
        <v>1086760035.210073</v>
      </c>
      <c r="I30" s="44">
        <f t="shared" si="4"/>
        <v>119339509.96992707</v>
      </c>
      <c r="J30" s="330">
        <f t="shared" si="5"/>
        <v>0.10981219966085567</v>
      </c>
      <c r="K30" s="735">
        <f t="shared" si="6"/>
        <v>2608224084.5041752</v>
      </c>
    </row>
    <row r="31" spans="1:11" ht="12.75" customHeight="1" x14ac:dyDescent="0.25">
      <c r="A31" s="39" t="str">
        <f>'C4-FinPerf RE'!A31</f>
        <v>Other materials</v>
      </c>
      <c r="B31" s="171"/>
      <c r="C31" s="748"/>
      <c r="D31" s="745">
        <v>46574816.042614385</v>
      </c>
      <c r="E31" s="733">
        <v>63670207.006963424</v>
      </c>
      <c r="F31" s="733">
        <v>3664520.58</v>
      </c>
      <c r="G31" s="733">
        <v>8833549.2299999986</v>
      </c>
      <c r="H31" s="733">
        <f t="shared" si="3"/>
        <v>26529252.919568092</v>
      </c>
      <c r="I31" s="44">
        <f t="shared" si="4"/>
        <v>-17695703.689568095</v>
      </c>
      <c r="J31" s="330">
        <f t="shared" si="5"/>
        <v>-0.66702608411998165</v>
      </c>
      <c r="K31" s="735">
        <f t="shared" si="6"/>
        <v>63670207.006963424</v>
      </c>
    </row>
    <row r="32" spans="1:11" ht="12.75" customHeight="1" x14ac:dyDescent="0.25">
      <c r="A32" s="39" t="str">
        <f>'C4-FinPerf RE'!A32</f>
        <v>Contracted services</v>
      </c>
      <c r="B32" s="171"/>
      <c r="C32" s="748"/>
      <c r="D32" s="745">
        <v>463787100.72254992</v>
      </c>
      <c r="E32" s="733">
        <v>490524718.2633999</v>
      </c>
      <c r="F32" s="733">
        <v>46753607.430000007</v>
      </c>
      <c r="G32" s="733">
        <v>188048660.66000006</v>
      </c>
      <c r="H32" s="733">
        <f t="shared" si="3"/>
        <v>204385299.27641663</v>
      </c>
      <c r="I32" s="44">
        <f t="shared" si="4"/>
        <v>-16336638.616416574</v>
      </c>
      <c r="J32" s="330">
        <f t="shared" si="5"/>
        <v>-7.9930595176135572E-2</v>
      </c>
      <c r="K32" s="735">
        <f t="shared" si="6"/>
        <v>490524718.2633999</v>
      </c>
    </row>
    <row r="33" spans="1:11" ht="12.75" customHeight="1" x14ac:dyDescent="0.25">
      <c r="A33" s="39" t="str">
        <f>'C4-FinPerf RE'!A33</f>
        <v>Transfers and subsidies</v>
      </c>
      <c r="B33" s="171"/>
      <c r="C33" s="748"/>
      <c r="D33" s="745">
        <v>25080461.44304001</v>
      </c>
      <c r="E33" s="733">
        <v>58680462</v>
      </c>
      <c r="F33" s="733">
        <v>5509878.8999999994</v>
      </c>
      <c r="G33" s="733">
        <v>20738257.259999998</v>
      </c>
      <c r="H33" s="733">
        <f t="shared" si="3"/>
        <v>24450192.5</v>
      </c>
      <c r="I33" s="44">
        <f t="shared" si="4"/>
        <v>-3711935.2400000021</v>
      </c>
      <c r="J33" s="330">
        <f t="shared" si="5"/>
        <v>-0.15181619694814272</v>
      </c>
      <c r="K33" s="735">
        <f t="shared" si="6"/>
        <v>58680462</v>
      </c>
    </row>
    <row r="34" spans="1:11" ht="12.75" customHeight="1" x14ac:dyDescent="0.25">
      <c r="A34" s="39" t="str">
        <f>'C4-FinPerf RE'!A34</f>
        <v>Other expenditure</v>
      </c>
      <c r="B34" s="171"/>
      <c r="C34" s="748"/>
      <c r="D34" s="745">
        <v>192585810.36394995</v>
      </c>
      <c r="E34" s="733">
        <v>164553065.99999997</v>
      </c>
      <c r="F34" s="733">
        <v>9436065.8100000024</v>
      </c>
      <c r="G34" s="733">
        <v>66741645.200000055</v>
      </c>
      <c r="H34" s="733">
        <f t="shared" si="3"/>
        <v>68563777.499999985</v>
      </c>
      <c r="I34" s="44">
        <f t="shared" si="4"/>
        <v>-1822132.29999993</v>
      </c>
      <c r="J34" s="330">
        <f t="shared" si="5"/>
        <v>-2.6575727978230639E-2</v>
      </c>
      <c r="K34" s="735">
        <f t="shared" si="6"/>
        <v>164553065.99999997</v>
      </c>
    </row>
    <row r="35" spans="1:11" ht="12.75" customHeight="1" x14ac:dyDescent="0.25">
      <c r="A35" s="39" t="str">
        <f>'C4-FinPerf RE'!A35</f>
        <v>Losses</v>
      </c>
      <c r="B35" s="169"/>
      <c r="C35" s="748"/>
      <c r="D35" s="745">
        <v>0</v>
      </c>
      <c r="E35" s="733"/>
      <c r="F35" s="733"/>
      <c r="G35" s="733"/>
      <c r="H35" s="733"/>
      <c r="I35" s="44">
        <f t="shared" si="4"/>
        <v>0</v>
      </c>
      <c r="J35" s="330" t="str">
        <f t="shared" si="5"/>
        <v/>
      </c>
      <c r="K35" s="735"/>
    </row>
    <row r="36" spans="1:11" ht="12.75" customHeight="1" x14ac:dyDescent="0.25">
      <c r="A36" s="350" t="s">
        <v>488</v>
      </c>
      <c r="B36" s="569"/>
      <c r="C36" s="243">
        <f t="shared" ref="C36:H36" si="7">SUM(C25:C35)</f>
        <v>0</v>
      </c>
      <c r="D36" s="74">
        <f t="shared" si="7"/>
        <v>5501964562.0327282</v>
      </c>
      <c r="E36" s="73">
        <f t="shared" si="7"/>
        <v>5559528170.2307873</v>
      </c>
      <c r="F36" s="73">
        <f t="shared" si="7"/>
        <v>439316979.02000004</v>
      </c>
      <c r="G36" s="73">
        <f t="shared" si="7"/>
        <v>2307630800.4100008</v>
      </c>
      <c r="H36" s="73">
        <f t="shared" si="7"/>
        <v>2316470070.9294944</v>
      </c>
      <c r="I36" s="73">
        <f t="shared" si="4"/>
        <v>-8839270.5194935799</v>
      </c>
      <c r="J36" s="331">
        <f t="shared" si="5"/>
        <v>-3.8158362719302396E-3</v>
      </c>
      <c r="K36" s="145">
        <f>SUM(K25:K35)</f>
        <v>5559528170.2307873</v>
      </c>
    </row>
    <row r="37" spans="1:11" ht="5.0999999999999996" customHeight="1" x14ac:dyDescent="0.25">
      <c r="A37" s="42"/>
      <c r="B37" s="169"/>
      <c r="C37" s="134"/>
      <c r="D37" s="46"/>
      <c r="E37" s="44"/>
      <c r="F37" s="44"/>
      <c r="G37" s="44"/>
      <c r="H37" s="44"/>
      <c r="I37" s="44">
        <f t="shared" si="4"/>
        <v>0</v>
      </c>
      <c r="J37" s="330"/>
      <c r="K37" s="144"/>
    </row>
    <row r="38" spans="1:11" ht="12.75" customHeight="1" x14ac:dyDescent="0.25">
      <c r="A38" s="87" t="str">
        <f>'C4-FinPerf RE'!A38</f>
        <v>Surplus/(Deficit)</v>
      </c>
      <c r="B38" s="169"/>
      <c r="C38" s="134">
        <f t="shared" ref="C38:H38" si="8">C22-C36</f>
        <v>0</v>
      </c>
      <c r="D38" s="46">
        <f t="shared" si="8"/>
        <v>415845695.83933353</v>
      </c>
      <c r="E38" s="44">
        <f t="shared" si="8"/>
        <v>447280087.64127445</v>
      </c>
      <c r="F38" s="44">
        <f t="shared" si="8"/>
        <v>-44709517.960000038</v>
      </c>
      <c r="G38" s="44">
        <f t="shared" si="8"/>
        <v>77032562.149999142</v>
      </c>
      <c r="H38" s="44">
        <f t="shared" si="8"/>
        <v>186366703.18386459</v>
      </c>
      <c r="I38" s="44">
        <f t="shared" si="4"/>
        <v>-109334141.03386545</v>
      </c>
      <c r="J38" s="330">
        <f t="shared" si="5"/>
        <v>-0.58666134650672663</v>
      </c>
      <c r="K38" s="144">
        <f>K22-K36</f>
        <v>447280087.64127445</v>
      </c>
    </row>
    <row r="39" spans="1:11" ht="21.6" customHeight="1" x14ac:dyDescent="0.25">
      <c r="A39" s="111" t="str">
        <f>'C4-FinPerf RE'!A39</f>
        <v>Transfers and subsidies - capital (monetary allocations) (National / Provincial and District)</v>
      </c>
      <c r="B39" s="169"/>
      <c r="C39" s="748"/>
      <c r="D39" s="745">
        <v>525891580.99999982</v>
      </c>
      <c r="E39" s="733">
        <v>525891580.99999982</v>
      </c>
      <c r="F39" s="733">
        <v>67443964.909999996</v>
      </c>
      <c r="G39" s="733">
        <v>186752684.79000002</v>
      </c>
      <c r="H39" s="733">
        <f>E39/12*5</f>
        <v>219121492.08333325</v>
      </c>
      <c r="I39" s="44">
        <f t="shared" si="4"/>
        <v>-32368807.293333232</v>
      </c>
      <c r="J39" s="330">
        <f t="shared" si="5"/>
        <v>-0.14772082366536265</v>
      </c>
      <c r="K39" s="735">
        <f>E39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4"/>
        <v>0</v>
      </c>
      <c r="J40" s="330" t="str">
        <f t="shared" si="5"/>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4"/>
        <v>0</v>
      </c>
      <c r="J41" s="330" t="str">
        <f t="shared" si="5"/>
        <v/>
      </c>
      <c r="K41" s="735"/>
    </row>
    <row r="42" spans="1:11" ht="25.5" x14ac:dyDescent="0.25">
      <c r="A42" s="570" t="str">
        <f>'C4-FinPerf RE'!A42</f>
        <v>Surplus/(Deficit) after capital transfers &amp; contributions</v>
      </c>
      <c r="B42" s="309"/>
      <c r="C42" s="571">
        <f>C38+SUM(C39:C41)</f>
        <v>0</v>
      </c>
      <c r="D42" s="572">
        <f t="shared" ref="D42:K42" si="9">D38+SUM(D39:D41)</f>
        <v>941737276.8393333</v>
      </c>
      <c r="E42" s="514">
        <f t="shared" si="9"/>
        <v>973171668.64127421</v>
      </c>
      <c r="F42" s="514">
        <f t="shared" si="9"/>
        <v>22734446.949999958</v>
      </c>
      <c r="G42" s="514">
        <f t="shared" si="9"/>
        <v>263785246.93999916</v>
      </c>
      <c r="H42" s="514">
        <f t="shared" si="9"/>
        <v>405488195.26719785</v>
      </c>
      <c r="I42" s="514">
        <f t="shared" si="4"/>
        <v>-141702948.32719868</v>
      </c>
      <c r="J42" s="515">
        <f t="shared" si="5"/>
        <v>-0.3494625737102483</v>
      </c>
      <c r="K42" s="573">
        <f t="shared" si="9"/>
        <v>973171668.64127421</v>
      </c>
    </row>
    <row r="43" spans="1:11" ht="12.75" customHeight="1" x14ac:dyDescent="0.25">
      <c r="A43" s="111" t="str">
        <f>'C4-FinPerf RE'!A43</f>
        <v>Taxation</v>
      </c>
      <c r="B43" s="169"/>
      <c r="C43" s="748"/>
      <c r="D43" s="745"/>
      <c r="E43" s="733"/>
      <c r="F43" s="733"/>
      <c r="G43" s="733"/>
      <c r="H43" s="733"/>
      <c r="I43" s="44">
        <f t="shared" si="4"/>
        <v>0</v>
      </c>
      <c r="J43" s="330" t="str">
        <f t="shared" si="5"/>
        <v/>
      </c>
      <c r="K43" s="735"/>
    </row>
    <row r="44" spans="1:11" ht="12.75" customHeight="1" x14ac:dyDescent="0.25">
      <c r="A44" s="53" t="str">
        <f>'C4-FinPerf RE'!A44</f>
        <v>Surplus/(Deficit) after taxation</v>
      </c>
      <c r="B44" s="236"/>
      <c r="C44" s="112">
        <f t="shared" ref="C44:H44" si="10">C42-C43</f>
        <v>0</v>
      </c>
      <c r="D44" s="56">
        <f t="shared" si="10"/>
        <v>941737276.8393333</v>
      </c>
      <c r="E44" s="55">
        <f t="shared" si="10"/>
        <v>973171668.64127421</v>
      </c>
      <c r="F44" s="55">
        <f t="shared" si="10"/>
        <v>22734446.949999958</v>
      </c>
      <c r="G44" s="55">
        <f t="shared" si="10"/>
        <v>263785246.93999916</v>
      </c>
      <c r="H44" s="55">
        <f t="shared" si="10"/>
        <v>405488195.26719785</v>
      </c>
      <c r="I44" s="55">
        <f t="shared" si="4"/>
        <v>-141702948.32719868</v>
      </c>
      <c r="J44" s="332">
        <f t="shared" si="5"/>
        <v>-0.3494625737102483</v>
      </c>
      <c r="K44" s="235">
        <f>K42-K43</f>
        <v>973171668.64127421</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"&amp;S71Q&amp; " - "&amp;Head57</f>
        <v>KZN225 Msunduzi - NOT REQUIRED - municipality does not have entities or this is the parent municipality's budget - M05 November</v>
      </c>
      <c r="B1" s="1054"/>
      <c r="C1" s="1054"/>
      <c r="D1" s="1054"/>
      <c r="E1" s="1054"/>
      <c r="F1" s="1054"/>
      <c r="G1" s="1054"/>
      <c r="H1" s="1054"/>
      <c r="I1" s="1054"/>
      <c r="J1" s="1054"/>
      <c r="K1" s="1054"/>
    </row>
    <row r="2" spans="1:11" x14ac:dyDescent="0.25">
      <c r="A2" s="1043" t="str">
        <f>desc</f>
        <v>Description</v>
      </c>
      <c r="B2" s="1036" t="str">
        <f>head27</f>
        <v>Ref</v>
      </c>
      <c r="C2" s="158" t="str">
        <f>Head1</f>
        <v>2019/20</v>
      </c>
      <c r="D2" s="1038" t="str">
        <f>Head2</f>
        <v>Budget Year 2020/21</v>
      </c>
      <c r="E2" s="1039"/>
      <c r="F2" s="1039"/>
      <c r="G2" s="1039"/>
      <c r="H2" s="1039"/>
      <c r="I2" s="1039"/>
      <c r="J2" s="1039"/>
      <c r="K2" s="104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6" sqref="E6:E10"/>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4" t="str">
        <f>muni&amp; " - "&amp;S71R&amp; " - "&amp;Head57</f>
        <v>KZN225 Msunduzi - Supporting Table SC12 Monthly Budget Statement - capital expenditure trend - M05 November</v>
      </c>
      <c r="B1" s="1054"/>
      <c r="C1" s="1054"/>
      <c r="D1" s="1054"/>
      <c r="E1" s="1054"/>
      <c r="F1" s="1054"/>
      <c r="G1" s="1054"/>
      <c r="H1" s="1054"/>
      <c r="I1" s="1054"/>
      <c r="J1" s="1054"/>
    </row>
    <row r="2" spans="1:10" x14ac:dyDescent="0.25">
      <c r="A2" s="1043" t="s">
        <v>887</v>
      </c>
      <c r="B2" s="139" t="str">
        <f>Head1</f>
        <v>2019/20</v>
      </c>
      <c r="C2" s="1038" t="str">
        <f>Head2</f>
        <v>Budget Year 2020/21</v>
      </c>
      <c r="D2" s="1039"/>
      <c r="E2" s="1039"/>
      <c r="F2" s="1039"/>
      <c r="G2" s="1039"/>
      <c r="H2" s="1039"/>
      <c r="I2" s="1039"/>
      <c r="J2" s="1040"/>
    </row>
    <row r="3" spans="1:10" ht="38.25" x14ac:dyDescent="0.25">
      <c r="A3" s="1044"/>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5">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5">
      <c r="A8" s="39" t="s">
        <v>541</v>
      </c>
      <c r="B8" s="748">
        <v>66093583.333333336</v>
      </c>
      <c r="C8" s="753">
        <v>48407631.75</v>
      </c>
      <c r="D8" s="733"/>
      <c r="E8" s="733">
        <v>51590953.230000004</v>
      </c>
      <c r="F8" s="408">
        <f t="shared" ref="F8:F17" si="3">IF(E8&gt;0,E8+F7,"")</f>
        <v>80820961.820000008</v>
      </c>
      <c r="G8" s="408">
        <f>IF(D8&gt;0,D8+G7,C8+G7)</f>
        <v>145222895.25</v>
      </c>
      <c r="H8" s="44">
        <f t="shared" si="0"/>
        <v>64401933.429999992</v>
      </c>
      <c r="I8" s="124">
        <f t="shared" si="1"/>
        <v>0.44346955980413832</v>
      </c>
      <c r="J8" s="674">
        <f t="shared" si="2"/>
        <v>0.1391326100489654</v>
      </c>
    </row>
    <row r="9" spans="1:10" ht="12.75" customHeight="1" x14ac:dyDescent="0.25">
      <c r="A9" s="39" t="s">
        <v>906</v>
      </c>
      <c r="B9" s="748">
        <v>66093583.333333336</v>
      </c>
      <c r="C9" s="753">
        <v>48407631.75</v>
      </c>
      <c r="D9" s="733"/>
      <c r="E9" s="733">
        <v>34751661.439999998</v>
      </c>
      <c r="F9" s="408">
        <f t="shared" si="3"/>
        <v>115572623.26000001</v>
      </c>
      <c r="G9" s="408">
        <f t="shared" ref="G9:G17" si="4">IF(D9&gt;0,D9+G8,C9+G8)</f>
        <v>193630527</v>
      </c>
      <c r="H9" s="44">
        <f t="shared" si="0"/>
        <v>78057903.739999995</v>
      </c>
      <c r="I9" s="124">
        <f t="shared" si="1"/>
        <v>0.40312808599648131</v>
      </c>
      <c r="J9" s="674">
        <f t="shared" si="2"/>
        <v>0.19895730466783956</v>
      </c>
    </row>
    <row r="10" spans="1:10" ht="12.75" customHeight="1" x14ac:dyDescent="0.25">
      <c r="A10" s="39" t="s">
        <v>907</v>
      </c>
      <c r="B10" s="748">
        <v>66093583.333333336</v>
      </c>
      <c r="C10" s="753">
        <v>48407631.75</v>
      </c>
      <c r="D10" s="733"/>
      <c r="E10" s="733">
        <v>64917006.57</v>
      </c>
      <c r="F10" s="408">
        <f t="shared" si="3"/>
        <v>180489629.83000001</v>
      </c>
      <c r="G10" s="408">
        <f t="shared" si="4"/>
        <v>242038158.75</v>
      </c>
      <c r="H10" s="44">
        <f t="shared" si="0"/>
        <v>61548528.919999987</v>
      </c>
      <c r="I10" s="124">
        <f t="shared" si="1"/>
        <v>0.25429266706483727</v>
      </c>
      <c r="J10" s="674">
        <f t="shared" si="2"/>
        <v>0.31071138872298448</v>
      </c>
    </row>
    <row r="11" spans="1:10" ht="12.75" customHeight="1" x14ac:dyDescent="0.25">
      <c r="A11" s="39" t="s">
        <v>908</v>
      </c>
      <c r="B11" s="748">
        <v>66093583.333333336</v>
      </c>
      <c r="C11" s="753">
        <v>48407631.75</v>
      </c>
      <c r="D11" s="733"/>
      <c r="E11" s="733"/>
      <c r="F11" s="408" t="str">
        <f t="shared" si="3"/>
        <v/>
      </c>
      <c r="G11" s="408">
        <f t="shared" si="4"/>
        <v>290445790.5</v>
      </c>
      <c r="H11" s="44">
        <f t="shared" si="0"/>
        <v>0</v>
      </c>
      <c r="I11" s="124" t="str">
        <f t="shared" si="1"/>
        <v/>
      </c>
      <c r="J11" s="674" t="str">
        <f t="shared" si="2"/>
        <v/>
      </c>
    </row>
    <row r="12" spans="1:10" ht="12.75" customHeight="1" x14ac:dyDescent="0.25">
      <c r="A12" s="39" t="s">
        <v>909</v>
      </c>
      <c r="B12" s="748">
        <v>66093583.333333336</v>
      </c>
      <c r="C12" s="753">
        <v>48407631.75</v>
      </c>
      <c r="D12" s="1001"/>
      <c r="E12" s="733"/>
      <c r="F12" s="408" t="str">
        <f t="shared" si="3"/>
        <v/>
      </c>
      <c r="G12" s="408">
        <f t="shared" si="4"/>
        <v>338853422.25</v>
      </c>
      <c r="H12" s="44">
        <f t="shared" si="0"/>
        <v>0</v>
      </c>
      <c r="I12" s="124" t="str">
        <f t="shared" si="1"/>
        <v/>
      </c>
      <c r="J12" s="674" t="str">
        <f t="shared" si="2"/>
        <v/>
      </c>
    </row>
    <row r="13" spans="1:10" ht="12.75" customHeight="1" x14ac:dyDescent="0.25">
      <c r="A13" s="39" t="s">
        <v>910</v>
      </c>
      <c r="B13" s="748">
        <v>66093583.333333336</v>
      </c>
      <c r="C13" s="753">
        <v>48407631.75</v>
      </c>
      <c r="D13" s="733"/>
      <c r="E13" s="733"/>
      <c r="F13" s="408" t="str">
        <f t="shared" si="3"/>
        <v/>
      </c>
      <c r="G13" s="408">
        <f t="shared" si="4"/>
        <v>387261054</v>
      </c>
      <c r="H13" s="44">
        <f t="shared" si="0"/>
        <v>0</v>
      </c>
      <c r="I13" s="124" t="str">
        <f t="shared" si="1"/>
        <v/>
      </c>
      <c r="J13" s="674" t="str">
        <f t="shared" si="2"/>
        <v/>
      </c>
    </row>
    <row r="14" spans="1:10" ht="12.75" customHeight="1" x14ac:dyDescent="0.25">
      <c r="A14" s="39" t="s">
        <v>911</v>
      </c>
      <c r="B14" s="748">
        <v>66093583.333333336</v>
      </c>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5">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180489629.83000001</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4" t="s">
        <v>642</v>
      </c>
      <c r="B1" s="1005"/>
      <c r="C1" s="1005"/>
      <c r="D1" s="1006"/>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M05 November</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09" t="s">
        <v>751</v>
      </c>
      <c r="B72" s="1010"/>
      <c r="C72" s="1010"/>
      <c r="D72" s="1011"/>
    </row>
    <row r="73" spans="1:6" x14ac:dyDescent="0.2">
      <c r="A73" s="730" t="s">
        <v>657</v>
      </c>
      <c r="B73" s="731" t="str">
        <f>'Lookup and lists'!B27</f>
        <v>KZN225 Msunduzi</v>
      </c>
      <c r="C73" s="731"/>
      <c r="D73" s="6"/>
    </row>
    <row r="74" spans="1:6" x14ac:dyDescent="0.2">
      <c r="A74" s="730" t="s">
        <v>82</v>
      </c>
      <c r="B74" s="732">
        <v>1</v>
      </c>
      <c r="C74" s="731" t="s">
        <v>152</v>
      </c>
      <c r="D74" s="6">
        <v>3</v>
      </c>
    </row>
    <row r="75" spans="1:6" x14ac:dyDescent="0.2">
      <c r="A75" s="647" t="str">
        <f>IF((MuniEntities=1)*(MuniType=2),"YES","NO")</f>
        <v>NO</v>
      </c>
      <c r="B75" s="372" t="s">
        <v>624</v>
      </c>
      <c r="C75" s="589"/>
      <c r="D75" s="6"/>
    </row>
    <row r="76" spans="1:6" x14ac:dyDescent="0.2">
      <c r="A76" s="1007" t="s">
        <v>794</v>
      </c>
      <c r="B76" s="1008"/>
      <c r="C76" s="369"/>
      <c r="D76" s="18"/>
    </row>
    <row r="77" spans="1:6" x14ac:dyDescent="0.2">
      <c r="A77" s="11" t="s">
        <v>636</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40" activePane="bottomRight" state="frozen"/>
      <selection pane="topRight"/>
      <selection pane="bottomLeft"/>
      <selection pane="bottomRight" activeCell="G161" sqref="G161"/>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"&amp;S71Sa&amp; " - "&amp;Head57</f>
        <v>KZN225 Msunduzi - Supporting Table SC13a Monthly Budget Statement - capital expenditure on new assets by asset class - M05 November</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200298084.31836799</v>
      </c>
      <c r="F7" s="102">
        <f t="shared" si="0"/>
        <v>4822020.6900000004</v>
      </c>
      <c r="G7" s="102">
        <f t="shared" si="0"/>
        <v>13077809.18</v>
      </c>
      <c r="H7" s="102">
        <f t="shared" si="0"/>
        <v>83457535.132653341</v>
      </c>
      <c r="I7" s="101">
        <f t="shared" ref="I7:I37" si="1">H7-G7</f>
        <v>70379725.952653348</v>
      </c>
      <c r="J7" s="579">
        <f t="shared" ref="J7:J37" si="2">IF(I7=0,"",I7/H7)</f>
        <v>0.84329983914318596</v>
      </c>
      <c r="K7" s="603">
        <f>K8+K13+K17+K27+K38+K45+K53+K63+K69</f>
        <v>200298084.31836799</v>
      </c>
    </row>
    <row r="8" spans="1:11" ht="12.75" customHeight="1" x14ac:dyDescent="0.25">
      <c r="A8" s="518" t="s">
        <v>1216</v>
      </c>
      <c r="B8" s="169"/>
      <c r="C8" s="677">
        <f t="shared" ref="C8:H8" si="3">SUM(C9:C12)</f>
        <v>0</v>
      </c>
      <c r="D8" s="609">
        <f t="shared" si="3"/>
        <v>10845780.900911285</v>
      </c>
      <c r="E8" s="608">
        <f t="shared" si="3"/>
        <v>10845780.900911285</v>
      </c>
      <c r="F8" s="608">
        <f t="shared" si="3"/>
        <v>0</v>
      </c>
      <c r="G8" s="608">
        <f t="shared" si="3"/>
        <v>0</v>
      </c>
      <c r="H8" s="608">
        <f t="shared" si="3"/>
        <v>4519075.3753797021</v>
      </c>
      <c r="I8" s="258">
        <f t="shared" si="1"/>
        <v>4519075.3753797021</v>
      </c>
      <c r="J8" s="575">
        <f t="shared" si="2"/>
        <v>1</v>
      </c>
      <c r="K8" s="610">
        <f>SUM(K9:K12)</f>
        <v>10845780.900911285</v>
      </c>
    </row>
    <row r="9" spans="1:11" ht="12.75" customHeight="1" x14ac:dyDescent="0.25">
      <c r="A9" s="574" t="s">
        <v>168</v>
      </c>
      <c r="B9" s="169"/>
      <c r="C9" s="748"/>
      <c r="D9" s="745">
        <v>10845780.900911285</v>
      </c>
      <c r="E9" s="733">
        <v>10845780.900911285</v>
      </c>
      <c r="F9" s="733"/>
      <c r="G9" s="733"/>
      <c r="H9" s="733">
        <f>E9/12*5</f>
        <v>4519075.3753797021</v>
      </c>
      <c r="I9" s="258">
        <f t="shared" si="1"/>
        <v>4519075.3753797021</v>
      </c>
      <c r="J9" s="575">
        <f t="shared" si="2"/>
        <v>1</v>
      </c>
      <c r="K9" s="735">
        <f>E9</f>
        <v>10845780.900911285</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140931704.65022203</v>
      </c>
      <c r="F17" s="408">
        <f t="shared" si="5"/>
        <v>0</v>
      </c>
      <c r="G17" s="408">
        <f t="shared" si="5"/>
        <v>0</v>
      </c>
      <c r="H17" s="408">
        <f t="shared" si="5"/>
        <v>58721543.604259185</v>
      </c>
      <c r="I17" s="258">
        <f t="shared" si="1"/>
        <v>58721543.604259185</v>
      </c>
      <c r="J17" s="575">
        <f t="shared" si="2"/>
        <v>1</v>
      </c>
      <c r="K17" s="642">
        <f>SUM(K18:K26)</f>
        <v>140931704.65022203</v>
      </c>
    </row>
    <row r="18" spans="1:11" ht="12.75" customHeight="1" x14ac:dyDescent="0.25">
      <c r="A18" s="574" t="s">
        <v>1225</v>
      </c>
      <c r="B18" s="169"/>
      <c r="C18" s="748"/>
      <c r="D18" s="745">
        <v>133651704.65022203</v>
      </c>
      <c r="E18" s="733">
        <v>140931704.65022203</v>
      </c>
      <c r="F18" s="733"/>
      <c r="G18" s="733"/>
      <c r="H18" s="733">
        <f>E18/12*5</f>
        <v>58721543.604259185</v>
      </c>
      <c r="I18" s="258">
        <f t="shared" si="1"/>
        <v>58721543.604259185</v>
      </c>
      <c r="J18" s="575">
        <f t="shared" si="2"/>
        <v>1</v>
      </c>
      <c r="K18" s="735">
        <f>E18</f>
        <v>140931704.65022203</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6294640.6100000003</v>
      </c>
      <c r="H27" s="408">
        <f t="shared" si="6"/>
        <v>0</v>
      </c>
      <c r="I27" s="258">
        <f t="shared" si="1"/>
        <v>-6294640.6100000003</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v>6294640.6100000003</v>
      </c>
      <c r="H34" s="733"/>
      <c r="I34" s="258">
        <f t="shared" si="1"/>
        <v>-6294640.6100000003</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48520598.76723469</v>
      </c>
      <c r="F38" s="408">
        <f t="shared" si="7"/>
        <v>4822020.6900000004</v>
      </c>
      <c r="G38" s="408">
        <f t="shared" si="7"/>
        <v>6783168.5700000003</v>
      </c>
      <c r="H38" s="408">
        <f t="shared" si="7"/>
        <v>20216916.153014455</v>
      </c>
      <c r="I38" s="258">
        <f t="shared" ref="I38:I44" si="8">H38-G38</f>
        <v>13433747.583014455</v>
      </c>
      <c r="J38" s="575">
        <f t="shared" ref="J38:J44" si="9">IF(I38=0,"",I38/H38)</f>
        <v>0.66448055090792901</v>
      </c>
      <c r="K38" s="642">
        <f>SUM(K39:K44)</f>
        <v>48520598.76723469</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v>48520598.76723469</v>
      </c>
      <c r="F40" s="733">
        <v>4822020.6900000004</v>
      </c>
      <c r="G40" s="733">
        <v>6783168.5700000003</v>
      </c>
      <c r="H40" s="733">
        <f>E40/12*5</f>
        <v>20216916.153014455</v>
      </c>
      <c r="I40" s="258">
        <f>H40-G40</f>
        <v>13433747.583014455</v>
      </c>
      <c r="J40" s="575">
        <f>IF(I40=0,"",I40/H40)</f>
        <v>0.66448055090792901</v>
      </c>
      <c r="K40" s="735">
        <f>E40</f>
        <v>48520598.76723469</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39558111.673645303</v>
      </c>
      <c r="F75" s="578">
        <f t="shared" si="17"/>
        <v>0</v>
      </c>
      <c r="G75" s="578">
        <f t="shared" si="17"/>
        <v>955122.94000000006</v>
      </c>
      <c r="H75" s="578">
        <f t="shared" si="17"/>
        <v>16482546.530685544</v>
      </c>
      <c r="I75" s="578">
        <f>H75-G75</f>
        <v>15527423.590685545</v>
      </c>
      <c r="J75" s="579">
        <f t="shared" si="16"/>
        <v>0.94205246511988616</v>
      </c>
      <c r="K75" s="580">
        <f>+K76+K99</f>
        <v>39558111.673645303</v>
      </c>
    </row>
    <row r="76" spans="1:11" ht="12.75" customHeight="1" x14ac:dyDescent="0.25">
      <c r="A76" s="518" t="s">
        <v>1268</v>
      </c>
      <c r="B76" s="169"/>
      <c r="C76" s="648">
        <f t="shared" ref="C76:H76" si="18">SUM(C77:C98)</f>
        <v>0</v>
      </c>
      <c r="D76" s="649">
        <f t="shared" si="18"/>
        <v>39558111.673645303</v>
      </c>
      <c r="E76" s="408">
        <f t="shared" si="18"/>
        <v>39558111.673645303</v>
      </c>
      <c r="F76" s="408">
        <f t="shared" si="18"/>
        <v>0</v>
      </c>
      <c r="G76" s="408">
        <f t="shared" si="18"/>
        <v>955122.94000000006</v>
      </c>
      <c r="H76" s="408">
        <f t="shared" si="18"/>
        <v>16482546.530685544</v>
      </c>
      <c r="I76" s="258">
        <f t="shared" ref="I76:I87" si="19">H76-G76</f>
        <v>15527423.590685545</v>
      </c>
      <c r="J76" s="575">
        <f t="shared" ref="J76:J87" si="20">IF(I76=0,"",I76/H76)</f>
        <v>0.94205246511988616</v>
      </c>
      <c r="K76" s="642">
        <f>SUM(K77:K98)</f>
        <v>39558111.673645303</v>
      </c>
    </row>
    <row r="77" spans="1:11" ht="12.75" customHeight="1" x14ac:dyDescent="0.25">
      <c r="A77" s="574" t="s">
        <v>1269</v>
      </c>
      <c r="B77" s="169"/>
      <c r="C77" s="748"/>
      <c r="D77" s="753">
        <v>37464350.795641594</v>
      </c>
      <c r="E77" s="733">
        <v>37464350.795641594</v>
      </c>
      <c r="F77" s="733"/>
      <c r="G77" s="733">
        <v>955122.94000000006</v>
      </c>
      <c r="H77" s="733">
        <f>E77/12*5</f>
        <v>15610146.164850665</v>
      </c>
      <c r="I77" s="44">
        <f t="shared" si="19"/>
        <v>14655023.224850666</v>
      </c>
      <c r="J77" s="124">
        <f t="shared" si="20"/>
        <v>0.93881396561483532</v>
      </c>
      <c r="K77" s="735">
        <f>E77</f>
        <v>37464350.795641594</v>
      </c>
    </row>
    <row r="78" spans="1:11" ht="12.75" customHeight="1" x14ac:dyDescent="0.25">
      <c r="A78" s="574" t="s">
        <v>1270</v>
      </c>
      <c r="B78" s="169"/>
      <c r="C78" s="748"/>
      <c r="D78" s="753"/>
      <c r="E78" s="733"/>
      <c r="F78" s="733"/>
      <c r="G78" s="733"/>
      <c r="H78" s="733"/>
      <c r="I78" s="44">
        <f t="shared" si="19"/>
        <v>0</v>
      </c>
      <c r="J78" s="124" t="str">
        <f t="shared" si="20"/>
        <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v>1356247.7767417443</v>
      </c>
      <c r="F84" s="733"/>
      <c r="G84" s="733"/>
      <c r="H84" s="733">
        <f>E84/12*5</f>
        <v>565103.24030906009</v>
      </c>
      <c r="I84" s="44">
        <f t="shared" si="19"/>
        <v>565103.24030906009</v>
      </c>
      <c r="J84" s="124">
        <f t="shared" si="20"/>
        <v>1</v>
      </c>
      <c r="K84" s="735">
        <f>E84</f>
        <v>1356247.7767417443</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v>737513.10126196733</v>
      </c>
      <c r="F88" s="733"/>
      <c r="G88" s="733"/>
      <c r="H88" s="733">
        <f>E88/12*5</f>
        <v>307297.12552581972</v>
      </c>
      <c r="I88" s="44">
        <f t="shared" ref="I88:I133" si="21">H88-G88</f>
        <v>307297.12552581972</v>
      </c>
      <c r="J88" s="124">
        <f t="shared" ref="J88:J119" si="22">IF(I88=0,"",I88/H88)</f>
        <v>1</v>
      </c>
      <c r="K88" s="735">
        <f>E88</f>
        <v>737513.10126196733</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c r="F96" s="733"/>
      <c r="G96" s="733"/>
      <c r="H96" s="733"/>
      <c r="I96" s="44">
        <f t="shared" si="21"/>
        <v>0</v>
      </c>
      <c r="J96" s="124" t="str">
        <f t="shared" si="22"/>
        <v/>
      </c>
      <c r="K96" s="735"/>
    </row>
    <row r="97" spans="1:11" ht="12.75" customHeight="1" x14ac:dyDescent="0.25">
      <c r="A97" s="574" t="s">
        <v>1284</v>
      </c>
      <c r="B97" s="169"/>
      <c r="C97" s="748"/>
      <c r="D97" s="753"/>
      <c r="E97" s="733"/>
      <c r="F97" s="733"/>
      <c r="G97" s="733"/>
      <c r="H97" s="733"/>
      <c r="I97" s="44">
        <f t="shared" si="21"/>
        <v>0</v>
      </c>
      <c r="J97" s="124" t="str">
        <f t="shared" si="22"/>
        <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32018752.691165708</v>
      </c>
      <c r="F103" s="99">
        <f t="shared" si="24"/>
        <v>0</v>
      </c>
      <c r="G103" s="99">
        <f t="shared" si="24"/>
        <v>182935.28</v>
      </c>
      <c r="H103" s="99">
        <f t="shared" si="24"/>
        <v>13341146.954652378</v>
      </c>
      <c r="I103" s="99">
        <f t="shared" si="21"/>
        <v>13158211.674652379</v>
      </c>
      <c r="J103" s="324">
        <f t="shared" si="22"/>
        <v>0.98628788959286551</v>
      </c>
      <c r="K103" s="195">
        <f>SUM(K104:K108)</f>
        <v>32018752.691165708</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v>32018752.691165708</v>
      </c>
      <c r="F108" s="733"/>
      <c r="G108" s="733">
        <v>182935.28</v>
      </c>
      <c r="H108" s="733">
        <f>E108/12*5</f>
        <v>13341146.954652378</v>
      </c>
      <c r="I108" s="44">
        <f t="shared" si="21"/>
        <v>13158211.674652379</v>
      </c>
      <c r="J108" s="124">
        <f t="shared" si="22"/>
        <v>0.98628788959286551</v>
      </c>
      <c r="K108" s="735">
        <f>E108</f>
        <v>32018752.691165708</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3800000</v>
      </c>
      <c r="F117" s="578">
        <f t="shared" si="28"/>
        <v>11872686.689999999</v>
      </c>
      <c r="G117" s="578">
        <f t="shared" si="28"/>
        <v>23730575.640000001</v>
      </c>
      <c r="H117" s="578">
        <f t="shared" si="28"/>
        <v>1583333.3333333335</v>
      </c>
      <c r="I117" s="578">
        <f t="shared" si="21"/>
        <v>-22147242.306666669</v>
      </c>
      <c r="J117" s="579">
        <f t="shared" si="22"/>
        <v>-13.987731983157895</v>
      </c>
      <c r="K117" s="580">
        <f>+K118+K130</f>
        <v>3800000</v>
      </c>
    </row>
    <row r="118" spans="1:11" ht="12.75" customHeight="1" x14ac:dyDescent="0.25">
      <c r="A118" s="518" t="s">
        <v>1298</v>
      </c>
      <c r="B118" s="169"/>
      <c r="C118" s="648">
        <f t="shared" ref="C118:H118" si="29">SUM(C119:C129)</f>
        <v>0</v>
      </c>
      <c r="D118" s="649">
        <f t="shared" si="29"/>
        <v>3800000</v>
      </c>
      <c r="E118" s="408">
        <f t="shared" si="29"/>
        <v>3800000</v>
      </c>
      <c r="F118" s="408">
        <f t="shared" si="29"/>
        <v>0</v>
      </c>
      <c r="G118" s="408">
        <f t="shared" si="29"/>
        <v>0</v>
      </c>
      <c r="H118" s="408">
        <f t="shared" si="29"/>
        <v>1583333.3333333335</v>
      </c>
      <c r="I118" s="258">
        <f t="shared" si="21"/>
        <v>1583333.3333333335</v>
      </c>
      <c r="J118" s="575">
        <f t="shared" si="22"/>
        <v>1</v>
      </c>
      <c r="K118" s="642">
        <f>SUM(K119:K129)</f>
        <v>3800000</v>
      </c>
    </row>
    <row r="119" spans="1:11" ht="12.75" customHeight="1" x14ac:dyDescent="0.25">
      <c r="A119" s="574" t="s">
        <v>1299</v>
      </c>
      <c r="B119" s="169"/>
      <c r="C119" s="748"/>
      <c r="D119" s="753">
        <v>3800000</v>
      </c>
      <c r="E119" s="733">
        <v>3800000</v>
      </c>
      <c r="F119" s="733"/>
      <c r="G119" s="733"/>
      <c r="H119" s="733">
        <f>E119/12*5</f>
        <v>1583333.3333333335</v>
      </c>
      <c r="I119" s="44">
        <f t="shared" si="21"/>
        <v>1583333.3333333335</v>
      </c>
      <c r="J119" s="124">
        <f t="shared" si="22"/>
        <v>1</v>
      </c>
      <c r="K119" s="735">
        <f>E119</f>
        <v>3800000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c r="H123" s="733"/>
      <c r="I123" s="44">
        <f t="shared" si="21"/>
        <v>0</v>
      </c>
      <c r="J123" s="124" t="str">
        <f t="shared" si="30"/>
        <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11872686.689999999</v>
      </c>
      <c r="G130" s="408">
        <f t="shared" si="31"/>
        <v>23730575.640000001</v>
      </c>
      <c r="H130" s="408">
        <f t="shared" si="31"/>
        <v>0</v>
      </c>
      <c r="I130" s="258">
        <f t="shared" si="21"/>
        <v>-23730575.640000001</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11872686.689999999</v>
      </c>
      <c r="G132" s="733">
        <v>23730575.640000001</v>
      </c>
      <c r="H132" s="733"/>
      <c r="I132" s="44">
        <f t="shared" si="21"/>
        <v>-23730575.640000001</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46237276.472306006</v>
      </c>
      <c r="F138" s="942">
        <f t="shared" si="33"/>
        <v>0</v>
      </c>
      <c r="G138" s="942">
        <f t="shared" si="33"/>
        <v>0</v>
      </c>
      <c r="H138" s="942">
        <f t="shared" si="33"/>
        <v>19265531.863460835</v>
      </c>
      <c r="I138" s="942">
        <f t="shared" ref="I138:I146" si="34">H138-G138</f>
        <v>19265531.863460835</v>
      </c>
      <c r="J138" s="324">
        <f t="shared" si="30"/>
        <v>1</v>
      </c>
      <c r="K138" s="943">
        <f>SUM(K139:K140)</f>
        <v>46237276.472306006</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46237276.472306006</v>
      </c>
      <c r="F140" s="408">
        <f t="shared" si="35"/>
        <v>0</v>
      </c>
      <c r="G140" s="408">
        <f t="shared" si="35"/>
        <v>0</v>
      </c>
      <c r="H140" s="408">
        <f t="shared" si="35"/>
        <v>19265531.863460835</v>
      </c>
      <c r="I140" s="258">
        <f t="shared" si="34"/>
        <v>19265531.863460835</v>
      </c>
      <c r="J140" s="575">
        <f t="shared" si="30"/>
        <v>1</v>
      </c>
      <c r="K140" s="642">
        <f>SUM(K141:K146)</f>
        <v>46237276.472306006</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46237276.472306006</v>
      </c>
      <c r="F144" s="733"/>
      <c r="G144" s="733"/>
      <c r="H144" s="733">
        <f>E144/12*5</f>
        <v>19265531.863460835</v>
      </c>
      <c r="I144" s="44">
        <f t="shared" si="34"/>
        <v>19265531.863460835</v>
      </c>
      <c r="J144" s="124">
        <f t="shared" si="30"/>
        <v>1</v>
      </c>
      <c r="K144" s="735">
        <f>E144</f>
        <v>46237276.472306006</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30789488.019469682</v>
      </c>
      <c r="F148" s="578">
        <f t="shared" si="36"/>
        <v>352047.06</v>
      </c>
      <c r="G148" s="578">
        <f t="shared" si="36"/>
        <v>2981753.59</v>
      </c>
      <c r="H148" s="578">
        <f t="shared" si="36"/>
        <v>12828953.341445701</v>
      </c>
      <c r="I148" s="578">
        <f>H148-G148</f>
        <v>9847199.7514457013</v>
      </c>
      <c r="J148" s="324">
        <f>IF(I148=0,"",I148/H148)</f>
        <v>0.76757623863460211</v>
      </c>
      <c r="K148" s="580">
        <f>SUM(K149)</f>
        <v>30789488.019469682</v>
      </c>
    </row>
    <row r="149" spans="1:12" ht="12.75" customHeight="1" x14ac:dyDescent="0.25">
      <c r="A149" s="518" t="s">
        <v>1321</v>
      </c>
      <c r="B149" s="169"/>
      <c r="C149" s="748"/>
      <c r="D149" s="753">
        <v>30489488.019469682</v>
      </c>
      <c r="E149" s="733">
        <v>30789488.019469682</v>
      </c>
      <c r="F149" s="733">
        <v>352047.06</v>
      </c>
      <c r="G149" s="733">
        <v>2981753.59</v>
      </c>
      <c r="H149" s="733">
        <f>E149/12*5</f>
        <v>12828953.341445701</v>
      </c>
      <c r="I149" s="44">
        <f>H149-G149</f>
        <v>9847199.7514457013</v>
      </c>
      <c r="J149" s="124">
        <f>IF(I149=0,"",I149/H149)</f>
        <v>0.76757623863460211</v>
      </c>
      <c r="K149" s="735">
        <f>E149</f>
        <v>30789488.019469682</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27421102.404387362</v>
      </c>
      <c r="F151" s="578">
        <f t="shared" si="37"/>
        <v>0</v>
      </c>
      <c r="G151" s="578">
        <f t="shared" si="37"/>
        <v>85388.76</v>
      </c>
      <c r="H151" s="578">
        <f t="shared" si="37"/>
        <v>11425459.335161401</v>
      </c>
      <c r="I151" s="578">
        <f>H151-G151</f>
        <v>11340070.575161401</v>
      </c>
      <c r="J151" s="324">
        <f>IF(I151=0,"",I151/H151)</f>
        <v>0.99252644839081272</v>
      </c>
      <c r="K151" s="580">
        <f>SUM(K152)</f>
        <v>27421102.404387362</v>
      </c>
    </row>
    <row r="152" spans="1:12" ht="12.75" customHeight="1" x14ac:dyDescent="0.25">
      <c r="A152" s="518" t="s">
        <v>1322</v>
      </c>
      <c r="B152" s="169"/>
      <c r="C152" s="748"/>
      <c r="D152" s="753">
        <v>26221102.404387362</v>
      </c>
      <c r="E152" s="733">
        <v>27421102.404387362</v>
      </c>
      <c r="F152" s="733"/>
      <c r="G152" s="733">
        <v>85388.76</v>
      </c>
      <c r="H152" s="733">
        <f>E152/12*5</f>
        <v>11425459.335161401</v>
      </c>
      <c r="I152" s="44">
        <f>H152-G152</f>
        <v>11340070.575161401</v>
      </c>
      <c r="J152" s="124">
        <f>IF(I152=0,"",I152/H152)</f>
        <v>0.99252644839081272</v>
      </c>
      <c r="K152" s="735">
        <f>E152</f>
        <v>27421102.404387362</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37798166.653423235</v>
      </c>
      <c r="F154" s="578">
        <f>SUM(F155:F155)</f>
        <v>1050024.72</v>
      </c>
      <c r="G154" s="578">
        <f>SUM(G155:G155)</f>
        <v>2319963.2500000075</v>
      </c>
      <c r="H154" s="578">
        <f t="shared" si="38"/>
        <v>15749236.105593015</v>
      </c>
      <c r="I154" s="578">
        <f>H154-G154</f>
        <v>13429272.855593007</v>
      </c>
      <c r="J154" s="324">
        <f>IF(I154=0,"",I154/H154)</f>
        <v>0.85269360148990836</v>
      </c>
      <c r="K154" s="580">
        <f>SUM(K155)</f>
        <v>37798166.653423235</v>
      </c>
    </row>
    <row r="155" spans="1:12" ht="12.75" customHeight="1" x14ac:dyDescent="0.25">
      <c r="A155" s="518" t="s">
        <v>1323</v>
      </c>
      <c r="B155" s="169"/>
      <c r="C155" s="748"/>
      <c r="D155" s="753">
        <v>34478166.653423235</v>
      </c>
      <c r="E155" s="733">
        <v>37798166.653423235</v>
      </c>
      <c r="F155" s="733">
        <v>1050024.72</v>
      </c>
      <c r="G155" s="733">
        <v>2319963.2500000075</v>
      </c>
      <c r="H155" s="733">
        <f>E155/12*5</f>
        <v>15749236.105593015</v>
      </c>
      <c r="I155" s="44">
        <f>H155-G155</f>
        <v>13429272.855593007</v>
      </c>
      <c r="J155" s="124">
        <f>IF(I155=0,"",I155/H155)</f>
        <v>0.85269360148990836</v>
      </c>
      <c r="K155" s="735">
        <f>E155</f>
        <v>37798166.653423235</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10900000</v>
      </c>
      <c r="F157" s="578">
        <f t="shared" si="39"/>
        <v>6117365.3600000003</v>
      </c>
      <c r="G157" s="578">
        <f t="shared" si="39"/>
        <v>6117365.3600000003</v>
      </c>
      <c r="H157" s="578">
        <f t="shared" si="39"/>
        <v>4541666.666666667</v>
      </c>
      <c r="I157" s="578">
        <f>H157-G157</f>
        <v>-1575698.6933333334</v>
      </c>
      <c r="J157" s="324">
        <f>IF(I157=0,"",I157/H157)</f>
        <v>-0.34694283155963301</v>
      </c>
      <c r="K157" s="580">
        <f>SUM(K158)</f>
        <v>10900000</v>
      </c>
    </row>
    <row r="158" spans="1:12" ht="12.75" customHeight="1" x14ac:dyDescent="0.25">
      <c r="A158" s="518" t="s">
        <v>1324</v>
      </c>
      <c r="B158" s="169"/>
      <c r="C158" s="748"/>
      <c r="D158" s="753"/>
      <c r="E158" s="733">
        <v>10900000</v>
      </c>
      <c r="F158" s="733">
        <v>6117365.3600000003</v>
      </c>
      <c r="G158" s="733">
        <v>6117365.3600000003</v>
      </c>
      <c r="H158" s="733">
        <f>E158/12*5</f>
        <v>4541666.666666667</v>
      </c>
      <c r="I158" s="44">
        <f>H158-G158</f>
        <v>-1575698.6933333334</v>
      </c>
      <c r="J158" s="124">
        <f>IF(I158=0,"",I158/H158)</f>
        <v>-0.34694283155963301</v>
      </c>
      <c r="K158" s="735">
        <f>E158</f>
        <v>10900000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48520598.76723469</v>
      </c>
      <c r="F160" s="578">
        <f t="shared" si="40"/>
        <v>0</v>
      </c>
      <c r="G160" s="578">
        <f t="shared" si="40"/>
        <v>0</v>
      </c>
      <c r="H160" s="578">
        <f t="shared" si="40"/>
        <v>20216916.153014455</v>
      </c>
      <c r="I160" s="578">
        <f>H160-G160</f>
        <v>20216916.153014455</v>
      </c>
      <c r="J160" s="324">
        <f>IF(I160=0,"",I160/H160)</f>
        <v>1</v>
      </c>
      <c r="K160" s="580">
        <f>SUM(K161)</f>
        <v>48520598.76723469</v>
      </c>
    </row>
    <row r="161" spans="1:11" ht="12.75" customHeight="1" x14ac:dyDescent="0.25">
      <c r="A161" s="518" t="s">
        <v>1335</v>
      </c>
      <c r="B161" s="169"/>
      <c r="C161" s="748"/>
      <c r="D161" s="753">
        <v>48520598.76723469</v>
      </c>
      <c r="E161" s="733">
        <v>48520598.76723469</v>
      </c>
      <c r="F161" s="733"/>
      <c r="G161" s="733"/>
      <c r="H161" s="733">
        <f>E161/12*5</f>
        <v>20216916.153014455</v>
      </c>
      <c r="I161" s="44">
        <f>H161-G161</f>
        <v>20216916.153014455</v>
      </c>
      <c r="J161" s="124">
        <f>IF(I161=0,"",I161/H161)</f>
        <v>1</v>
      </c>
      <c r="K161" s="735">
        <f>E161</f>
        <v>48520598.76723469</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477341580.99999994</v>
      </c>
      <c r="F166" s="55">
        <f t="shared" si="42"/>
        <v>24214144.519999996</v>
      </c>
      <c r="G166" s="55">
        <f t="shared" si="42"/>
        <v>49450914</v>
      </c>
      <c r="H166" s="55">
        <f t="shared" si="42"/>
        <v>198892325.41666666</v>
      </c>
      <c r="I166" s="55">
        <f>H166-G166</f>
        <v>149441411.41666666</v>
      </c>
      <c r="J166" s="290">
        <f>IF(I166=0,"",I166/H166)</f>
        <v>0.75136841556654588</v>
      </c>
      <c r="K166" s="235">
        <f>K7+K75+K103+K110+K117+K135+K138+K148+K151+K154+K157+K160+K163</f>
        <v>477341580.99999994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34" activePane="bottomRight" state="frozen"/>
      <selection pane="topRight"/>
      <selection pane="bottomLeft"/>
      <selection pane="bottomRight" activeCell="F46" sqref="F46:G4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"&amp;S71Sb&amp; " - "&amp;Head57</f>
        <v>KZN225 Msunduzi - Supporting Table SC13b Monthly Budget Statement - capital expenditure on renewal of existing assets by asset class - M05 November</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17471008.371092848</v>
      </c>
      <c r="F7" s="102">
        <f t="shared" si="0"/>
        <v>3955740.74</v>
      </c>
      <c r="G7" s="102">
        <f t="shared" si="0"/>
        <v>17260050.830000002</v>
      </c>
      <c r="H7" s="102">
        <f t="shared" si="0"/>
        <v>7279586.8212886872</v>
      </c>
      <c r="I7" s="101">
        <f t="shared" ref="I7:I133" si="1">H7-G7</f>
        <v>-9980464.0087113157</v>
      </c>
      <c r="J7" s="579">
        <f t="shared" ref="J7:J136" si="2">IF(I7=0,"",I7/H7)</f>
        <v>-1.3710206710529347</v>
      </c>
      <c r="K7" s="603">
        <f>K8+K13+K17+K27+K38+K45+K53+K63+K69</f>
        <v>17471008.371092848</v>
      </c>
    </row>
    <row r="8" spans="1:11" ht="12.75" customHeight="1" x14ac:dyDescent="0.25">
      <c r="A8" s="518" t="s">
        <v>1216</v>
      </c>
      <c r="B8" s="169"/>
      <c r="C8" s="677">
        <f t="shared" ref="C8:H8" si="3">SUM(C9:C12)</f>
        <v>0</v>
      </c>
      <c r="D8" s="609">
        <f t="shared" si="3"/>
        <v>5914548.2937818393</v>
      </c>
      <c r="E8" s="608">
        <f t="shared" si="3"/>
        <v>15914548.293781839</v>
      </c>
      <c r="F8" s="608">
        <f t="shared" si="3"/>
        <v>3668777.39</v>
      </c>
      <c r="G8" s="608">
        <f t="shared" si="3"/>
        <v>16973087.48</v>
      </c>
      <c r="H8" s="608">
        <f t="shared" si="3"/>
        <v>6631061.7890757658</v>
      </c>
      <c r="I8" s="258">
        <f t="shared" si="1"/>
        <v>-10342025.690924235</v>
      </c>
      <c r="J8" s="575">
        <f t="shared" si="2"/>
        <v>-1.5596334372817995</v>
      </c>
      <c r="K8" s="610">
        <f>SUM(K9:K12)</f>
        <v>15914548.293781839</v>
      </c>
    </row>
    <row r="9" spans="1:11" ht="12.75" customHeight="1" x14ac:dyDescent="0.25">
      <c r="A9" s="574" t="s">
        <v>168</v>
      </c>
      <c r="B9" s="169"/>
      <c r="C9" s="748"/>
      <c r="D9" s="745">
        <v>5914548.2937818393</v>
      </c>
      <c r="E9" s="733">
        <v>15914548.293781839</v>
      </c>
      <c r="F9" s="733">
        <v>3668777.39</v>
      </c>
      <c r="G9" s="733">
        <v>16973087.48</v>
      </c>
      <c r="H9" s="733">
        <f>E9/12*5</f>
        <v>6631061.7890757658</v>
      </c>
      <c r="I9" s="258">
        <f t="shared" si="1"/>
        <v>-10342025.690924235</v>
      </c>
      <c r="J9" s="575">
        <f t="shared" si="2"/>
        <v>-1.5596334372817995</v>
      </c>
      <c r="K9" s="735">
        <f>E9</f>
        <v>15914548.293781839</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0</v>
      </c>
      <c r="H27" s="408">
        <f t="shared" si="6"/>
        <v>0</v>
      </c>
      <c r="I27" s="258">
        <f t="shared" si="1"/>
        <v>0</v>
      </c>
      <c r="J27" s="575" t="str">
        <f t="shared" si="2"/>
        <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1556460.0773110106</v>
      </c>
      <c r="E45" s="408">
        <f t="shared" si="8"/>
        <v>1556460.0773110106</v>
      </c>
      <c r="F45" s="408">
        <f t="shared" si="8"/>
        <v>286963.34999999998</v>
      </c>
      <c r="G45" s="408">
        <f t="shared" si="8"/>
        <v>286963.34999999998</v>
      </c>
      <c r="H45" s="408">
        <f t="shared" si="8"/>
        <v>648525.03221292107</v>
      </c>
      <c r="I45" s="258">
        <f t="shared" si="1"/>
        <v>361561.68221292109</v>
      </c>
      <c r="J45" s="575">
        <f t="shared" si="2"/>
        <v>0.55751384180065799</v>
      </c>
      <c r="K45" s="642">
        <f>SUM(K46:K52)</f>
        <v>1556460.0773110106</v>
      </c>
    </row>
    <row r="46" spans="1:11" ht="12.75" customHeight="1" x14ac:dyDescent="0.25">
      <c r="A46" s="574" t="s">
        <v>1249</v>
      </c>
      <c r="B46" s="169"/>
      <c r="C46" s="748"/>
      <c r="D46" s="745">
        <v>1556460.0773110106</v>
      </c>
      <c r="E46" s="733">
        <v>1556460.0773110106</v>
      </c>
      <c r="F46" s="733">
        <v>286963.34999999998</v>
      </c>
      <c r="G46" s="733">
        <v>286963.34999999998</v>
      </c>
      <c r="H46" s="733">
        <f>E46/12*5</f>
        <v>648525.03221292107</v>
      </c>
      <c r="I46" s="258">
        <f t="shared" si="1"/>
        <v>361561.68221292109</v>
      </c>
      <c r="J46" s="575">
        <f t="shared" si="2"/>
        <v>0.55751384180065799</v>
      </c>
      <c r="K46" s="735">
        <f>E46</f>
        <v>1556460.0773110106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0</v>
      </c>
      <c r="F75" s="578">
        <f t="shared" si="12"/>
        <v>0</v>
      </c>
      <c r="G75" s="578">
        <f t="shared" si="12"/>
        <v>0</v>
      </c>
      <c r="H75" s="578">
        <f t="shared" si="12"/>
        <v>0</v>
      </c>
      <c r="I75" s="578">
        <f t="shared" si="1"/>
        <v>0</v>
      </c>
      <c r="J75" s="579" t="str">
        <f t="shared" si="2"/>
        <v/>
      </c>
      <c r="K75" s="580">
        <f>+K76+K99</f>
        <v>0</v>
      </c>
    </row>
    <row r="76" spans="1:11" ht="12.75" customHeight="1" x14ac:dyDescent="0.25">
      <c r="A76" s="518" t="s">
        <v>1268</v>
      </c>
      <c r="B76" s="169"/>
      <c r="C76" s="648">
        <f t="shared" ref="C76:H76" si="13">SUM(C77:C98)</f>
        <v>0</v>
      </c>
      <c r="D76" s="649">
        <f t="shared" si="13"/>
        <v>0</v>
      </c>
      <c r="E76" s="408">
        <f t="shared" si="13"/>
        <v>0</v>
      </c>
      <c r="F76" s="408">
        <f t="shared" si="13"/>
        <v>0</v>
      </c>
      <c r="G76" s="408">
        <f t="shared" si="13"/>
        <v>0</v>
      </c>
      <c r="H76" s="408">
        <f t="shared" si="13"/>
        <v>0</v>
      </c>
      <c r="I76" s="258">
        <f t="shared" si="1"/>
        <v>0</v>
      </c>
      <c r="J76" s="575" t="str">
        <f t="shared" si="2"/>
        <v/>
      </c>
      <c r="K76" s="642">
        <f>SUM(K77:K98)</f>
        <v>0</v>
      </c>
    </row>
    <row r="77" spans="1:11" ht="12.75" customHeight="1" x14ac:dyDescent="0.25">
      <c r="A77" s="574" t="s">
        <v>1269</v>
      </c>
      <c r="B77" s="169"/>
      <c r="C77" s="748"/>
      <c r="D77" s="753"/>
      <c r="E77" s="733"/>
      <c r="F77" s="733"/>
      <c r="G77" s="733"/>
      <c r="H77" s="733"/>
      <c r="I77" s="44">
        <f t="shared" si="1"/>
        <v>0</v>
      </c>
      <c r="J77" s="124" t="str">
        <f t="shared" si="2"/>
        <v/>
      </c>
      <c r="K77" s="735"/>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389115.01932775264</v>
      </c>
      <c r="E151" s="578">
        <f t="shared" si="28"/>
        <v>389115.01932775264</v>
      </c>
      <c r="F151" s="578">
        <f t="shared" si="28"/>
        <v>0</v>
      </c>
      <c r="G151" s="578">
        <f t="shared" si="28"/>
        <v>0</v>
      </c>
      <c r="H151" s="578">
        <f t="shared" si="28"/>
        <v>162131.25805323027</v>
      </c>
      <c r="I151" s="578">
        <f>H151-G151</f>
        <v>162131.25805323027</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E152/12*5</f>
        <v>162131.25805323027</v>
      </c>
      <c r="I152" s="44">
        <f>H152-G152</f>
        <v>162131.25805323027</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7339876.6095793974</v>
      </c>
      <c r="E154" s="578">
        <f t="shared" si="29"/>
        <v>7339876.6095793974</v>
      </c>
      <c r="F154" s="578">
        <f t="shared" si="29"/>
        <v>0</v>
      </c>
      <c r="G154" s="578">
        <f t="shared" si="29"/>
        <v>0</v>
      </c>
      <c r="H154" s="578">
        <f t="shared" si="29"/>
        <v>3058281.9206580822</v>
      </c>
      <c r="I154" s="578">
        <f>H154-G154</f>
        <v>3058281.9206580822</v>
      </c>
      <c r="J154" s="324">
        <f>IF(I154=0,"",I154/H154)</f>
        <v>1</v>
      </c>
      <c r="K154" s="580">
        <f>SUM(K155)</f>
        <v>7339876.6095793974</v>
      </c>
    </row>
    <row r="155" spans="1:12" ht="12.75" customHeight="1" x14ac:dyDescent="0.25">
      <c r="A155" s="518" t="s">
        <v>1323</v>
      </c>
      <c r="B155" s="169"/>
      <c r="C155" s="748"/>
      <c r="D155" s="753">
        <v>7339876.6095793974</v>
      </c>
      <c r="E155" s="733">
        <v>7339876.6095793974</v>
      </c>
      <c r="F155" s="733"/>
      <c r="G155" s="733"/>
      <c r="H155" s="733">
        <f>E155/12*5</f>
        <v>3058281.9206580822</v>
      </c>
      <c r="I155" s="44">
        <f>H155-G155</f>
        <v>3058281.9206580822</v>
      </c>
      <c r="J155" s="124">
        <f>IF(I155=0,"",I155/H155)</f>
        <v>1</v>
      </c>
      <c r="K155" s="735">
        <f>E155</f>
        <v>7339876.6095793974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3">C7+C75+C103+C110+C117+C135+C138+C148+C151+C154+C157+C160+C163</f>
        <v>0</v>
      </c>
      <c r="D166" s="271">
        <f t="shared" si="33"/>
        <v>15200000</v>
      </c>
      <c r="E166" s="55">
        <f t="shared" si="33"/>
        <v>25200000</v>
      </c>
      <c r="F166" s="55">
        <f t="shared" si="33"/>
        <v>3955740.74</v>
      </c>
      <c r="G166" s="55">
        <f t="shared" si="33"/>
        <v>17260050.830000002</v>
      </c>
      <c r="H166" s="55">
        <f t="shared" si="33"/>
        <v>10500000</v>
      </c>
      <c r="I166" s="55">
        <f>H166-G166</f>
        <v>-6760050.8300000019</v>
      </c>
      <c r="J166" s="290">
        <f>IF(I166=0,"",I166/H166)</f>
        <v>-0.6438143647619049</v>
      </c>
      <c r="K166" s="235">
        <f>K7+K75+K103+K110+K117+K135+K138+K148+K151+K154+K157+K160+K163</f>
        <v>25200000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34" activePane="bottomRight" state="frozen"/>
      <selection pane="topRight"/>
      <selection pane="bottomLeft"/>
      <selection pane="bottomRight" activeCell="F155" sqref="F155:G155"/>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"&amp;S71Sc&amp; " - "&amp;Head57</f>
        <v>KZN225 Msunduzi - Supporting Table SC13c Monthly Budget Statement - expenditure on repairs and maintenance by asset class - M05 November</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4443752.0599999996</v>
      </c>
      <c r="G7" s="102">
        <f t="shared" si="0"/>
        <v>27306087.019999996</v>
      </c>
      <c r="H7" s="102">
        <f t="shared" si="0"/>
        <v>76170453.412333012</v>
      </c>
      <c r="I7" s="101">
        <f t="shared" ref="I7:I166" si="1">H7-G7</f>
        <v>48864366.392333016</v>
      </c>
      <c r="J7" s="579">
        <f t="shared" ref="J7:J166" si="2">IF(I7=0,"",I7/H7)</f>
        <v>0.64151339795518691</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28073923.605354778</v>
      </c>
      <c r="I8" s="258">
        <f t="shared" si="1"/>
        <v>28073923.605354778</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E9/12*5</f>
        <v>28073923.605354778</v>
      </c>
      <c r="I9" s="258">
        <f t="shared" si="1"/>
        <v>28073923.605354778</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4443752.0599999996</v>
      </c>
      <c r="G17" s="408">
        <f t="shared" si="5"/>
        <v>27306087.019999996</v>
      </c>
      <c r="H17" s="408">
        <f t="shared" si="5"/>
        <v>30153525.688414793</v>
      </c>
      <c r="I17" s="258">
        <f t="shared" si="1"/>
        <v>2847438.6684147976</v>
      </c>
      <c r="J17" s="575">
        <f t="shared" si="2"/>
        <v>9.4431367589920157E-2</v>
      </c>
      <c r="K17" s="642">
        <f>SUM(K18:K26)</f>
        <v>72368461.652195498</v>
      </c>
    </row>
    <row r="18" spans="1:11" ht="12.75" customHeight="1" x14ac:dyDescent="0.25">
      <c r="A18" s="574" t="s">
        <v>1225</v>
      </c>
      <c r="B18" s="169"/>
      <c r="C18" s="748"/>
      <c r="D18" s="745">
        <v>72368461.652195498</v>
      </c>
      <c r="E18" s="733">
        <v>72368461.652195498</v>
      </c>
      <c r="F18" s="733"/>
      <c r="G18" s="733"/>
      <c r="H18" s="733">
        <f>E18/12*5</f>
        <v>30153525.688414793</v>
      </c>
      <c r="I18" s="258">
        <f t="shared" si="1"/>
        <v>30153525.688414793</v>
      </c>
      <c r="J18" s="575">
        <f t="shared" si="2"/>
        <v>1</v>
      </c>
      <c r="K18" s="735">
        <f>E18</f>
        <v>72368461.652195498</v>
      </c>
    </row>
    <row r="19" spans="1:11" ht="12.75" customHeight="1" x14ac:dyDescent="0.25">
      <c r="A19" s="574" t="s">
        <v>1226</v>
      </c>
      <c r="B19" s="169"/>
      <c r="C19" s="748"/>
      <c r="D19" s="745"/>
      <c r="E19" s="733"/>
      <c r="F19" s="733">
        <v>1504954.83</v>
      </c>
      <c r="G19" s="733">
        <v>6135047.7300000004</v>
      </c>
      <c r="H19" s="733"/>
      <c r="I19" s="258">
        <f t="shared" si="1"/>
        <v>-6135047.7300000004</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903.14</v>
      </c>
      <c r="G22" s="733">
        <v>878397.70000000007</v>
      </c>
      <c r="H22" s="733"/>
      <c r="I22" s="258">
        <f t="shared" si="1"/>
        <v>-878397.70000000007</v>
      </c>
      <c r="J22" s="575" t="e">
        <f t="shared" si="2"/>
        <v>#DIV/0!</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2937894.09</v>
      </c>
      <c r="G25" s="733">
        <v>20292641.589999996</v>
      </c>
      <c r="H25" s="733"/>
      <c r="I25" s="258">
        <f t="shared" si="1"/>
        <v>-20292641.589999996</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9229014.5028703809</v>
      </c>
      <c r="I27" s="258">
        <f t="shared" si="1"/>
        <v>9229014.5028703809</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E34/12*5</f>
        <v>9229014.5028703809</v>
      </c>
      <c r="I34" s="258">
        <f t="shared" si="1"/>
        <v>9229014.5028703809</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3656413.8595856978</v>
      </c>
      <c r="I38" s="258">
        <f t="shared" si="1"/>
        <v>3656413.8595856978</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E41/12*5</f>
        <v>3656413.8595856978</v>
      </c>
      <c r="I41" s="258">
        <f t="shared" si="1"/>
        <v>3656413.8595856978</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5057575.7561073601</v>
      </c>
      <c r="I45" s="258">
        <f t="shared" si="1"/>
        <v>5057575.7561073601</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E46/12*5</f>
        <v>5057575.7561073601</v>
      </c>
      <c r="I46" s="258">
        <f t="shared" si="1"/>
        <v>5057575.7561073601</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9796967.2286895886</v>
      </c>
      <c r="I75" s="578">
        <f t="shared" si="1"/>
        <v>9796967.2286895886</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9796967.2286895886</v>
      </c>
      <c r="I76" s="258">
        <f t="shared" si="1"/>
        <v>9796967.2286895886</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E77/12*5</f>
        <v>386461.63115045935</v>
      </c>
      <c r="I77" s="44">
        <f t="shared" si="1"/>
        <v>386461.63115045935</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E80/12*5</f>
        <v>192626.69691574844</v>
      </c>
      <c r="I80" s="44">
        <f t="shared" si="1"/>
        <v>192626.69691574844</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E86/12*5</f>
        <v>365721.01978186506</v>
      </c>
      <c r="I86" s="44">
        <f t="shared" si="1"/>
        <v>365721.01978186506</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E88/12*5</f>
        <v>1587688.3082780843</v>
      </c>
      <c r="I88" s="44">
        <f t="shared" si="1"/>
        <v>1587688.3082780843</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E90/12*5</f>
        <v>5232588.6929770075</v>
      </c>
      <c r="I90" s="44">
        <f t="shared" si="1"/>
        <v>5232588.6929770075</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E93/12*5</f>
        <v>2031880.879586424</v>
      </c>
      <c r="I93" s="44">
        <f t="shared" si="1"/>
        <v>2031880.879586424</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11242501.998923505</v>
      </c>
      <c r="I103" s="99">
        <f t="shared" si="1"/>
        <v>11242501.998923505</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E105/12*5</f>
        <v>11242501.998923505</v>
      </c>
      <c r="I105" s="44">
        <f t="shared" si="1"/>
        <v>11242501.998923505</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453419.73</v>
      </c>
      <c r="G117" s="578">
        <f t="shared" si="19"/>
        <v>582320.5199999999</v>
      </c>
      <c r="H117" s="578">
        <f t="shared" si="19"/>
        <v>0</v>
      </c>
      <c r="I117" s="578">
        <f t="shared" si="1"/>
        <v>-582320.5199999999</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453419.73</v>
      </c>
      <c r="G118" s="408">
        <f t="shared" si="20"/>
        <v>582320.5199999999</v>
      </c>
      <c r="H118" s="408">
        <f t="shared" si="20"/>
        <v>0</v>
      </c>
      <c r="I118" s="258">
        <f t="shared" si="1"/>
        <v>-582320.5199999999</v>
      </c>
      <c r="J118" s="575" t="e">
        <f t="shared" si="2"/>
        <v>#DIV/0!</v>
      </c>
      <c r="K118" s="642">
        <f>SUM(K119:K129)</f>
        <v>0</v>
      </c>
    </row>
    <row r="119" spans="1:11" ht="12.75" customHeight="1" x14ac:dyDescent="0.25">
      <c r="A119" s="574" t="s">
        <v>1299</v>
      </c>
      <c r="B119" s="169"/>
      <c r="C119" s="748"/>
      <c r="D119" s="753"/>
      <c r="E119" s="733"/>
      <c r="F119" s="733">
        <v>453419.73</v>
      </c>
      <c r="G119" s="733">
        <v>582320.5199999999</v>
      </c>
      <c r="H119" s="733"/>
      <c r="I119" s="44">
        <f t="shared" si="1"/>
        <v>-582320.5199999999</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2078840.8000000003</v>
      </c>
      <c r="G154" s="578">
        <f t="shared" si="29"/>
        <v>7382665.9300000006</v>
      </c>
      <c r="H154" s="578">
        <f t="shared" si="29"/>
        <v>0</v>
      </c>
      <c r="I154" s="578">
        <f>H154-G154</f>
        <v>-7382665.9300000006</v>
      </c>
      <c r="J154" s="324" t="e">
        <f>IF(I154=0,"",I154/H154)</f>
        <v>#DIV/0!</v>
      </c>
      <c r="K154" s="580">
        <f>SUM(K155)</f>
        <v>0</v>
      </c>
    </row>
    <row r="155" spans="1:12" ht="12.75" customHeight="1" x14ac:dyDescent="0.25">
      <c r="A155" s="518" t="s">
        <v>1323</v>
      </c>
      <c r="B155" s="169"/>
      <c r="C155" s="748"/>
      <c r="D155" s="753"/>
      <c r="E155" s="733"/>
      <c r="F155" s="733">
        <v>2078840.8000000003</v>
      </c>
      <c r="G155" s="733">
        <v>7382665.9300000006</v>
      </c>
      <c r="H155" s="733"/>
      <c r="I155" s="44">
        <f>H155-G155</f>
        <v>-7382665.9300000006</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6976012.5899999999</v>
      </c>
      <c r="G166" s="55">
        <f t="shared" si="33"/>
        <v>35271073.469999999</v>
      </c>
      <c r="H166" s="55">
        <f t="shared" si="33"/>
        <v>97209922.639946103</v>
      </c>
      <c r="I166" s="55">
        <f t="shared" si="1"/>
        <v>61938849.169946104</v>
      </c>
      <c r="J166" s="290">
        <f t="shared" si="2"/>
        <v>0.63716591360081809</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28" activePane="bottomRight" state="frozen"/>
      <selection pane="topRight"/>
      <selection pane="bottomLeft"/>
      <selection pane="bottomRight" activeCell="F158" sqref="F158:G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"&amp;S71Sd&amp; " - "&amp;Head57</f>
        <v>KZN225 Msunduzi - Supporting Table SC13d Monthly Budget Statement - depreciation by asset class - M05 November</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26349973.959999993</v>
      </c>
      <c r="G7" s="102">
        <f t="shared" si="0"/>
        <v>134382105.36000001</v>
      </c>
      <c r="H7" s="102">
        <f t="shared" si="0"/>
        <v>42577262.772068679</v>
      </c>
      <c r="I7" s="101">
        <f t="shared" ref="I7:I166" si="1">H7-G7</f>
        <v>-91804842.587931335</v>
      </c>
      <c r="J7" s="579">
        <f t="shared" ref="J7:J166" si="2">IF(I7=0,"",I7/H7)</f>
        <v>-2.1561940954118048</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9835194.3299999982</v>
      </c>
      <c r="G8" s="608">
        <f t="shared" si="3"/>
        <v>50159493.519999996</v>
      </c>
      <c r="H8" s="608">
        <f t="shared" si="3"/>
        <v>6222341.6513122134</v>
      </c>
      <c r="I8" s="258">
        <f t="shared" si="1"/>
        <v>-43937151.868687779</v>
      </c>
      <c r="J8" s="575">
        <f t="shared" si="2"/>
        <v>-7.0611924466445819</v>
      </c>
      <c r="K8" s="610">
        <f>SUM(K9:K12)</f>
        <v>14933619.963149311</v>
      </c>
    </row>
    <row r="9" spans="1:11" ht="12.75" customHeight="1" x14ac:dyDescent="0.25">
      <c r="A9" s="574" t="s">
        <v>168</v>
      </c>
      <c r="B9" s="169"/>
      <c r="C9" s="748"/>
      <c r="D9" s="745">
        <v>14851561.889929518</v>
      </c>
      <c r="E9" s="733">
        <v>14851561.889929518</v>
      </c>
      <c r="F9" s="733">
        <v>9835194.3299999982</v>
      </c>
      <c r="G9" s="733">
        <v>50159493.519999996</v>
      </c>
      <c r="H9" s="733">
        <f>E9/12*5</f>
        <v>6188150.7874706332</v>
      </c>
      <c r="I9" s="258">
        <f t="shared" si="1"/>
        <v>-43971342.732529365</v>
      </c>
      <c r="J9" s="575">
        <f t="shared" si="2"/>
        <v>-7.1057322684443456</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E12/12*5</f>
        <v>34190.863841580045</v>
      </c>
      <c r="I12" s="258">
        <f t="shared" si="1"/>
        <v>34190.863841580045</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7741266.7199999997</v>
      </c>
      <c r="G17" s="408">
        <f t="shared" si="5"/>
        <v>39477698.030000001</v>
      </c>
      <c r="H17" s="408">
        <f t="shared" si="5"/>
        <v>33685287.606038764</v>
      </c>
      <c r="I17" s="258">
        <f t="shared" si="1"/>
        <v>-5792410.4239612371</v>
      </c>
      <c r="J17" s="575">
        <f t="shared" si="2"/>
        <v>-0.1719566860080135</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v>39300782.18353869</v>
      </c>
      <c r="F19" s="733"/>
      <c r="G19" s="733"/>
      <c r="H19" s="733">
        <f>E19/12*5</f>
        <v>16375325.909807786</v>
      </c>
      <c r="I19" s="258">
        <f t="shared" si="1"/>
        <v>16375325.909807786</v>
      </c>
      <c r="J19" s="575">
        <f t="shared" si="2"/>
        <v>1</v>
      </c>
      <c r="K19" s="735">
        <f>E19</f>
        <v>39300782.18353869</v>
      </c>
    </row>
    <row r="20" spans="1:11" ht="12.75" customHeight="1" x14ac:dyDescent="0.25">
      <c r="A20" s="574" t="s">
        <v>1227</v>
      </c>
      <c r="B20" s="169"/>
      <c r="C20" s="748"/>
      <c r="D20" s="745">
        <v>30417611.026810348</v>
      </c>
      <c r="E20" s="733">
        <v>30417611.026810348</v>
      </c>
      <c r="F20" s="733">
        <v>340073.74</v>
      </c>
      <c r="G20" s="733">
        <v>1731522.42</v>
      </c>
      <c r="H20" s="733">
        <f>E20/12*5</f>
        <v>12674004.594504312</v>
      </c>
      <c r="I20" s="258">
        <f t="shared" si="1"/>
        <v>10942482.174504312</v>
      </c>
      <c r="J20" s="575">
        <f t="shared" si="2"/>
        <v>0.86338000691976857</v>
      </c>
      <c r="K20" s="735">
        <f>E20</f>
        <v>30417611.026810348</v>
      </c>
    </row>
    <row r="21" spans="1:11" ht="12.75" customHeight="1" x14ac:dyDescent="0.25">
      <c r="A21" s="574" t="s">
        <v>1228</v>
      </c>
      <c r="B21" s="169"/>
      <c r="C21" s="748"/>
      <c r="D21" s="745">
        <v>10972255.34036158</v>
      </c>
      <c r="E21" s="733">
        <v>10972255.34036158</v>
      </c>
      <c r="F21" s="733">
        <v>4337815.76</v>
      </c>
      <c r="G21" s="733">
        <v>22122860.349999998</v>
      </c>
      <c r="H21" s="733">
        <f>E21/12*5</f>
        <v>4571773.0584839918</v>
      </c>
      <c r="I21" s="258">
        <f t="shared" si="1"/>
        <v>-17551087.291516006</v>
      </c>
      <c r="J21" s="575">
        <f t="shared" si="2"/>
        <v>-3.8390110504163952</v>
      </c>
      <c r="K21" s="735">
        <f>E21</f>
        <v>10972255.34036158</v>
      </c>
    </row>
    <row r="22" spans="1:11" ht="12.75" customHeight="1" x14ac:dyDescent="0.25">
      <c r="A22" s="574" t="s">
        <v>1229</v>
      </c>
      <c r="B22" s="169"/>
      <c r="C22" s="748"/>
      <c r="D22" s="745">
        <v>154041.70378242273</v>
      </c>
      <c r="E22" s="733">
        <v>154041.70378242273</v>
      </c>
      <c r="F22" s="733">
        <v>2893044.6399999997</v>
      </c>
      <c r="G22" s="733">
        <v>14754619.59</v>
      </c>
      <c r="H22" s="733">
        <f>E22/12*5</f>
        <v>64184.043242676133</v>
      </c>
      <c r="I22" s="258">
        <f t="shared" si="1"/>
        <v>-14690435.546757324</v>
      </c>
      <c r="J22" s="575">
        <f t="shared" si="2"/>
        <v>-228.87987114201644</v>
      </c>
      <c r="K22" s="735">
        <f>E22</f>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170332.58</v>
      </c>
      <c r="G25" s="733">
        <v>868695.66999999993</v>
      </c>
      <c r="H25" s="733"/>
      <c r="I25" s="258">
        <f t="shared" si="1"/>
        <v>-868695.66999999993</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6407120.435322484</v>
      </c>
      <c r="E27" s="408">
        <f t="shared" si="6"/>
        <v>6407120.435322484</v>
      </c>
      <c r="F27" s="408">
        <f t="shared" si="6"/>
        <v>6992837.0099999979</v>
      </c>
      <c r="G27" s="408">
        <f t="shared" si="6"/>
        <v>35663467.290000007</v>
      </c>
      <c r="H27" s="408">
        <f t="shared" si="6"/>
        <v>2669633.5147177014</v>
      </c>
      <c r="I27" s="258">
        <f t="shared" si="1"/>
        <v>-32993833.775282305</v>
      </c>
      <c r="J27" s="575">
        <f t="shared" si="2"/>
        <v>-12.358937507109928</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v>6992837.0099999979</v>
      </c>
      <c r="G30" s="733">
        <v>35663467.290000007</v>
      </c>
      <c r="H30" s="733">
        <f>E30/12*5</f>
        <v>2669633.5147177014</v>
      </c>
      <c r="I30" s="258">
        <f t="shared" si="1"/>
        <v>-32993833.775282305</v>
      </c>
      <c r="J30" s="575">
        <f t="shared" si="2"/>
        <v>-12.358937507109928</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1656780.3800000001</v>
      </c>
      <c r="G38" s="408">
        <f t="shared" si="7"/>
        <v>8449579.4300000016</v>
      </c>
      <c r="H38" s="408">
        <f t="shared" si="7"/>
        <v>0</v>
      </c>
      <c r="I38" s="258">
        <f t="shared" si="1"/>
        <v>-8449579.4300000016</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1656780.3800000001</v>
      </c>
      <c r="G40" s="733">
        <v>8449579.4300000016</v>
      </c>
      <c r="H40" s="733"/>
      <c r="I40" s="258">
        <f t="shared" si="1"/>
        <v>-8449579.4300000016</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0</v>
      </c>
      <c r="E45" s="408">
        <f t="shared" si="8"/>
        <v>0</v>
      </c>
      <c r="F45" s="408">
        <f t="shared" si="8"/>
        <v>114089.19</v>
      </c>
      <c r="G45" s="408">
        <f t="shared" si="8"/>
        <v>581854.71999999997</v>
      </c>
      <c r="H45" s="408">
        <f t="shared" si="8"/>
        <v>0</v>
      </c>
      <c r="I45" s="258">
        <f t="shared" si="1"/>
        <v>-581854.71999999997</v>
      </c>
      <c r="J45" s="575" t="e">
        <f t="shared" si="2"/>
        <v>#DIV/0!</v>
      </c>
      <c r="K45" s="642">
        <f>SUM(K46:K52)</f>
        <v>0</v>
      </c>
    </row>
    <row r="46" spans="1:11" ht="12.75" customHeight="1" x14ac:dyDescent="0.25">
      <c r="A46" s="574" t="s">
        <v>1249</v>
      </c>
      <c r="B46" s="169"/>
      <c r="C46" s="748"/>
      <c r="D46" s="745"/>
      <c r="E46" s="733"/>
      <c r="F46" s="733">
        <v>114089.19</v>
      </c>
      <c r="G46" s="733">
        <v>581854.71999999997</v>
      </c>
      <c r="H46" s="733"/>
      <c r="I46" s="258">
        <f t="shared" si="1"/>
        <v>-581854.71999999997</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9806.33</v>
      </c>
      <c r="G53" s="408">
        <f t="shared" si="9"/>
        <v>50012.37</v>
      </c>
      <c r="H53" s="408">
        <f t="shared" si="9"/>
        <v>0</v>
      </c>
      <c r="I53" s="258">
        <f t="shared" si="1"/>
        <v>-50012.37</v>
      </c>
      <c r="J53" s="575" t="e">
        <f t="shared" si="2"/>
        <v>#DIV/0!</v>
      </c>
      <c r="K53" s="642">
        <f>SUM(K54:K62)</f>
        <v>0</v>
      </c>
    </row>
    <row r="54" spans="1:11" ht="12.75" customHeight="1" x14ac:dyDescent="0.25">
      <c r="A54" s="574" t="s">
        <v>1256</v>
      </c>
      <c r="B54" s="169"/>
      <c r="C54" s="748"/>
      <c r="D54" s="745"/>
      <c r="E54" s="733"/>
      <c r="F54" s="733">
        <v>9806.33</v>
      </c>
      <c r="G54" s="733">
        <v>50012.37</v>
      </c>
      <c r="H54" s="733"/>
      <c r="I54" s="258">
        <f t="shared" si="1"/>
        <v>-50012.37</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38330211.728626624</v>
      </c>
      <c r="E75" s="578">
        <f t="shared" si="12"/>
        <v>38330211.728626624</v>
      </c>
      <c r="F75" s="578">
        <f t="shared" si="12"/>
        <v>2476541.4499999997</v>
      </c>
      <c r="G75" s="578">
        <f t="shared" si="12"/>
        <v>12630361.729999999</v>
      </c>
      <c r="H75" s="578">
        <f t="shared" si="12"/>
        <v>15970921.553594429</v>
      </c>
      <c r="I75" s="578">
        <f t="shared" si="1"/>
        <v>3340559.8235944305</v>
      </c>
      <c r="J75" s="579">
        <f t="shared" si="2"/>
        <v>0.20916512628180817</v>
      </c>
      <c r="K75" s="580">
        <f>+K76+K99</f>
        <v>38330211.728626624</v>
      </c>
    </row>
    <row r="76" spans="1:11" ht="12.75" customHeight="1" x14ac:dyDescent="0.25">
      <c r="A76" s="518" t="s">
        <v>1268</v>
      </c>
      <c r="B76" s="169"/>
      <c r="C76" s="648">
        <f t="shared" ref="C76:H76" si="13">SUM(C77:C98)</f>
        <v>0</v>
      </c>
      <c r="D76" s="649">
        <f t="shared" si="13"/>
        <v>22212964.603795335</v>
      </c>
      <c r="E76" s="408">
        <f t="shared" si="13"/>
        <v>22212964.603795335</v>
      </c>
      <c r="F76" s="408">
        <f t="shared" si="13"/>
        <v>1373360.28</v>
      </c>
      <c r="G76" s="408">
        <f t="shared" si="13"/>
        <v>7004137.790000001</v>
      </c>
      <c r="H76" s="408">
        <f t="shared" si="13"/>
        <v>9255401.9182480574</v>
      </c>
      <c r="I76" s="258">
        <f t="shared" si="1"/>
        <v>2251264.1282480564</v>
      </c>
      <c r="J76" s="575">
        <f t="shared" si="2"/>
        <v>0.24323785699780773</v>
      </c>
      <c r="K76" s="642">
        <f>SUM(K77:K98)</f>
        <v>22212964.603795335</v>
      </c>
    </row>
    <row r="77" spans="1:11" ht="12.75" customHeight="1" x14ac:dyDescent="0.25">
      <c r="A77" s="574" t="s">
        <v>1269</v>
      </c>
      <c r="B77" s="169"/>
      <c r="C77" s="748"/>
      <c r="D77" s="753">
        <v>216338.10110699103</v>
      </c>
      <c r="E77" s="733">
        <v>216338.10110699103</v>
      </c>
      <c r="F77" s="733"/>
      <c r="G77" s="733"/>
      <c r="H77" s="733">
        <f>E77/12*5</f>
        <v>90140.875461246265</v>
      </c>
      <c r="I77" s="44">
        <f t="shared" si="1"/>
        <v>90140.875461246265</v>
      </c>
      <c r="J77" s="124">
        <f t="shared" si="2"/>
        <v>1</v>
      </c>
      <c r="K77" s="735">
        <f>E77</f>
        <v>216338.10110699103</v>
      </c>
    </row>
    <row r="78" spans="1:11" ht="12.75" customHeight="1" x14ac:dyDescent="0.25">
      <c r="A78" s="574" t="s">
        <v>1270</v>
      </c>
      <c r="B78" s="169"/>
      <c r="C78" s="748"/>
      <c r="D78" s="753"/>
      <c r="E78" s="733"/>
      <c r="F78" s="733">
        <v>293511.90000000002</v>
      </c>
      <c r="G78" s="733">
        <v>1496910.9</v>
      </c>
      <c r="H78" s="733"/>
      <c r="I78" s="44">
        <f t="shared" si="1"/>
        <v>-1496910.9</v>
      </c>
      <c r="J78" s="124" t="e">
        <f t="shared" si="2"/>
        <v>#DIV/0!</v>
      </c>
      <c r="K78" s="735"/>
    </row>
    <row r="79" spans="1:11" ht="12.75" customHeight="1" x14ac:dyDescent="0.25">
      <c r="A79" s="574" t="s">
        <v>1271</v>
      </c>
      <c r="B79" s="169"/>
      <c r="C79" s="748"/>
      <c r="D79" s="753"/>
      <c r="E79" s="733"/>
      <c r="F79" s="733">
        <v>41098.83</v>
      </c>
      <c r="G79" s="733">
        <v>209603.87</v>
      </c>
      <c r="H79" s="733"/>
      <c r="I79" s="44">
        <f t="shared" si="1"/>
        <v>-209603.87</v>
      </c>
      <c r="J79" s="124" t="e">
        <f t="shared" si="2"/>
        <v>#DIV/0!</v>
      </c>
      <c r="K79" s="735"/>
    </row>
    <row r="80" spans="1:11" ht="12.75" customHeight="1" x14ac:dyDescent="0.25">
      <c r="A80" s="574" t="s">
        <v>1272</v>
      </c>
      <c r="B80" s="169"/>
      <c r="C80" s="748"/>
      <c r="D80" s="753">
        <v>11576837.362840936</v>
      </c>
      <c r="E80" s="733">
        <v>11576837.362840936</v>
      </c>
      <c r="F80" s="733">
        <v>57264.89</v>
      </c>
      <c r="G80" s="733">
        <v>292051.15000000002</v>
      </c>
      <c r="H80" s="733">
        <f>E80/12*5</f>
        <v>4823682.2345170565</v>
      </c>
      <c r="I80" s="44">
        <f t="shared" si="1"/>
        <v>4531631.0845170561</v>
      </c>
      <c r="J80" s="124">
        <f t="shared" si="2"/>
        <v>0.93945472860750323</v>
      </c>
      <c r="K80" s="735">
        <f>E80</f>
        <v>11576837.362840936</v>
      </c>
    </row>
    <row r="81" spans="1:11" ht="12.75" customHeight="1" x14ac:dyDescent="0.25">
      <c r="A81" s="574" t="s">
        <v>1273</v>
      </c>
      <c r="B81" s="169"/>
      <c r="C81" s="748"/>
      <c r="D81" s="753">
        <v>4052316.8497124896</v>
      </c>
      <c r="E81" s="733">
        <v>4052316.8497124896</v>
      </c>
      <c r="F81" s="733">
        <v>50853.31</v>
      </c>
      <c r="G81" s="733">
        <v>259352.03</v>
      </c>
      <c r="H81" s="733">
        <f>E81/12*5</f>
        <v>1688465.3540468707</v>
      </c>
      <c r="I81" s="44">
        <f t="shared" si="1"/>
        <v>1429113.3240468707</v>
      </c>
      <c r="J81" s="124">
        <f t="shared" si="2"/>
        <v>0.84639777808979511</v>
      </c>
      <c r="K81" s="735">
        <f>E81</f>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31208.93</v>
      </c>
      <c r="G85" s="733">
        <v>159165.51999999999</v>
      </c>
      <c r="H85" s="733"/>
      <c r="I85" s="44">
        <f t="shared" si="1"/>
        <v>-159165.51999999999</v>
      </c>
      <c r="J85" s="124" t="e">
        <f t="shared" si="2"/>
        <v>#DIV/0!</v>
      </c>
      <c r="K85" s="735"/>
    </row>
    <row r="86" spans="1:11" ht="12.75" customHeight="1" x14ac:dyDescent="0.25">
      <c r="A86" s="574" t="s">
        <v>553</v>
      </c>
      <c r="B86" s="169"/>
      <c r="C86" s="748"/>
      <c r="D86" s="753">
        <v>5202994.7779857824</v>
      </c>
      <c r="E86" s="733">
        <v>5202994.7779857824</v>
      </c>
      <c r="F86" s="733">
        <v>225023.04</v>
      </c>
      <c r="G86" s="733">
        <v>1147617.6599999999</v>
      </c>
      <c r="H86" s="733">
        <f>E86/12*5</f>
        <v>2167914.4908274096</v>
      </c>
      <c r="I86" s="44">
        <f t="shared" si="1"/>
        <v>1020296.8308274096</v>
      </c>
      <c r="J86" s="124">
        <f t="shared" si="2"/>
        <v>0.47063518194299331</v>
      </c>
      <c r="K86" s="735">
        <f>E86</f>
        <v>5202994.7779857824</v>
      </c>
    </row>
    <row r="87" spans="1:11" ht="12.75" customHeight="1" x14ac:dyDescent="0.25">
      <c r="A87" s="574" t="s">
        <v>1277</v>
      </c>
      <c r="B87" s="169"/>
      <c r="C87" s="748"/>
      <c r="D87" s="753"/>
      <c r="E87" s="733"/>
      <c r="F87" s="733">
        <v>36707.65</v>
      </c>
      <c r="G87" s="733">
        <v>187208.78</v>
      </c>
      <c r="H87" s="733"/>
      <c r="I87" s="44">
        <f t="shared" si="1"/>
        <v>-187208.78</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E89/12*5</f>
        <v>290456.14583950979</v>
      </c>
      <c r="I89" s="44">
        <f t="shared" si="1"/>
        <v>290456.14583950979</v>
      </c>
      <c r="J89" s="124">
        <f t="shared" si="2"/>
        <v>1</v>
      </c>
      <c r="K89" s="735">
        <f>E89</f>
        <v>697094.75001482351</v>
      </c>
    </row>
    <row r="90" spans="1:11" ht="12.75" customHeight="1" x14ac:dyDescent="0.25">
      <c r="A90" s="574" t="s">
        <v>1279</v>
      </c>
      <c r="B90" s="169"/>
      <c r="C90" s="748"/>
      <c r="D90" s="753"/>
      <c r="E90" s="733"/>
      <c r="F90" s="733">
        <v>7900.53</v>
      </c>
      <c r="G90" s="733">
        <v>40292.770000000004</v>
      </c>
      <c r="H90" s="733"/>
      <c r="I90" s="44">
        <f t="shared" si="1"/>
        <v>-40292.770000000004</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85164.219999999987</v>
      </c>
      <c r="G92" s="733">
        <v>434337.58</v>
      </c>
      <c r="H92" s="733">
        <f>E92/12*5</f>
        <v>194742.81755596329</v>
      </c>
      <c r="I92" s="44">
        <f t="shared" si="1"/>
        <v>-239594.76244403672</v>
      </c>
      <c r="J92" s="124">
        <f t="shared" si="2"/>
        <v>-1.2303137309553627</v>
      </c>
      <c r="K92" s="735">
        <f>E92</f>
        <v>467382.76213431195</v>
      </c>
    </row>
    <row r="93" spans="1:11" ht="12.75" customHeight="1" x14ac:dyDescent="0.25">
      <c r="A93" s="574" t="s">
        <v>441</v>
      </c>
      <c r="B93" s="169"/>
      <c r="C93" s="748"/>
      <c r="D93" s="753"/>
      <c r="E93" s="733"/>
      <c r="F93" s="733">
        <v>472697.32</v>
      </c>
      <c r="G93" s="733">
        <v>2410756.1300000004</v>
      </c>
      <c r="H93" s="733"/>
      <c r="I93" s="44">
        <f t="shared" si="1"/>
        <v>-2410756.1300000004</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71929.66</v>
      </c>
      <c r="G96" s="733">
        <v>366841.4</v>
      </c>
      <c r="H96" s="733"/>
      <c r="I96" s="44">
        <f t="shared" si="1"/>
        <v>-366841.4</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16117247.124831293</v>
      </c>
      <c r="E99" s="408">
        <f t="shared" si="14"/>
        <v>16117247.124831293</v>
      </c>
      <c r="F99" s="408">
        <f t="shared" si="14"/>
        <v>1103181.1699999997</v>
      </c>
      <c r="G99" s="408">
        <f t="shared" si="14"/>
        <v>5626223.9399999976</v>
      </c>
      <c r="H99" s="408">
        <f t="shared" si="14"/>
        <v>6715519.6353463717</v>
      </c>
      <c r="I99" s="258">
        <f t="shared" si="1"/>
        <v>1089295.6953463741</v>
      </c>
      <c r="J99" s="575">
        <f t="shared" si="2"/>
        <v>0.16220571966061872</v>
      </c>
      <c r="K99" s="642">
        <f>SUM(K100:K102)</f>
        <v>16117247.124831293</v>
      </c>
    </row>
    <row r="100" spans="1:11" ht="12.75" customHeight="1" x14ac:dyDescent="0.25">
      <c r="A100" s="574" t="s">
        <v>1286</v>
      </c>
      <c r="B100" s="169"/>
      <c r="C100" s="748"/>
      <c r="D100" s="753">
        <v>43464.979285039968</v>
      </c>
      <c r="E100" s="733">
        <v>43464.979285039968</v>
      </c>
      <c r="F100" s="733"/>
      <c r="G100" s="733"/>
      <c r="H100" s="733">
        <f>E100/12*5</f>
        <v>18110.40803543332</v>
      </c>
      <c r="I100" s="44">
        <f t="shared" si="1"/>
        <v>18110.40803543332</v>
      </c>
      <c r="J100" s="124">
        <f t="shared" si="2"/>
        <v>1</v>
      </c>
      <c r="K100" s="735">
        <f>E100</f>
        <v>43464.979285039968</v>
      </c>
    </row>
    <row r="101" spans="1:11" ht="12.75" customHeight="1" x14ac:dyDescent="0.25">
      <c r="A101" s="574" t="s">
        <v>1287</v>
      </c>
      <c r="B101" s="169"/>
      <c r="C101" s="748"/>
      <c r="D101" s="753">
        <v>8669487.8244611993</v>
      </c>
      <c r="E101" s="733">
        <v>8669487.8244611993</v>
      </c>
      <c r="F101" s="733">
        <v>1103181.1699999997</v>
      </c>
      <c r="G101" s="733">
        <v>5626223.9399999976</v>
      </c>
      <c r="H101" s="733">
        <f>E101/12*5</f>
        <v>3612286.5935255</v>
      </c>
      <c r="I101" s="44">
        <f>H101-G101</f>
        <v>-2013937.3464744976</v>
      </c>
      <c r="J101" s="124">
        <f>IF(I101=0,"",I101/H101)</f>
        <v>-0.55752424242422738</v>
      </c>
      <c r="K101" s="735">
        <f>E101</f>
        <v>8669487.8244611993</v>
      </c>
    </row>
    <row r="102" spans="1:11" ht="12.75" customHeight="1" x14ac:dyDescent="0.25">
      <c r="A102" s="574" t="s">
        <v>1219</v>
      </c>
      <c r="B102" s="169"/>
      <c r="C102" s="748"/>
      <c r="D102" s="753">
        <v>7404294.3210850535</v>
      </c>
      <c r="E102" s="733">
        <v>7404294.3210850535</v>
      </c>
      <c r="F102" s="733"/>
      <c r="G102" s="733"/>
      <c r="H102" s="733">
        <f>E102/12*5</f>
        <v>3085122.6337854387</v>
      </c>
      <c r="I102" s="44">
        <f t="shared" si="1"/>
        <v>3085122.6337854387</v>
      </c>
      <c r="J102" s="124">
        <f t="shared" si="2"/>
        <v>1</v>
      </c>
      <c r="K102" s="735">
        <f>E102</f>
        <v>7404294.3210850535</v>
      </c>
    </row>
    <row r="103" spans="1:11" ht="12.75" customHeight="1" x14ac:dyDescent="0.25">
      <c r="A103" s="549" t="s">
        <v>670</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163023969.56765977</v>
      </c>
      <c r="E117" s="578">
        <f t="shared" si="19"/>
        <v>163023969.56765977</v>
      </c>
      <c r="F117" s="578">
        <f t="shared" si="19"/>
        <v>2134561.3999999994</v>
      </c>
      <c r="G117" s="578">
        <f t="shared" si="19"/>
        <v>10886463.729999999</v>
      </c>
      <c r="H117" s="578">
        <f t="shared" si="19"/>
        <v>67926653.986524895</v>
      </c>
      <c r="I117" s="578">
        <f t="shared" si="1"/>
        <v>57040190.256524898</v>
      </c>
      <c r="J117" s="579">
        <f t="shared" si="2"/>
        <v>0.83973207730562405</v>
      </c>
      <c r="K117" s="580">
        <f>+K118+K130</f>
        <v>163023969.56765977</v>
      </c>
    </row>
    <row r="118" spans="1:11" ht="12.75" customHeight="1" x14ac:dyDescent="0.25">
      <c r="A118" s="518" t="s">
        <v>1298</v>
      </c>
      <c r="B118" s="169"/>
      <c r="C118" s="648">
        <f t="shared" ref="C118:H118" si="20">SUM(C119:C129)</f>
        <v>0</v>
      </c>
      <c r="D118" s="649">
        <f t="shared" si="20"/>
        <v>163023969.56765977</v>
      </c>
      <c r="E118" s="408">
        <f t="shared" si="20"/>
        <v>163023969.56765977</v>
      </c>
      <c r="F118" s="408">
        <f t="shared" si="20"/>
        <v>2131660.6399999997</v>
      </c>
      <c r="G118" s="408">
        <f t="shared" si="20"/>
        <v>10871669.779999999</v>
      </c>
      <c r="H118" s="408">
        <f t="shared" si="20"/>
        <v>67926653.986524895</v>
      </c>
      <c r="I118" s="258">
        <f t="shared" si="1"/>
        <v>57054984.206524894</v>
      </c>
      <c r="J118" s="575">
        <f t="shared" si="2"/>
        <v>0.83994987030927959</v>
      </c>
      <c r="K118" s="642">
        <f>SUM(K119:K129)</f>
        <v>163023969.56765977</v>
      </c>
    </row>
    <row r="119" spans="1:11" ht="12.75" customHeight="1" x14ac:dyDescent="0.25">
      <c r="A119" s="574" t="s">
        <v>1299</v>
      </c>
      <c r="B119" s="169"/>
      <c r="C119" s="748"/>
      <c r="D119" s="753">
        <v>108029891.92018634</v>
      </c>
      <c r="E119" s="733">
        <v>108029891.92018634</v>
      </c>
      <c r="F119" s="733">
        <v>2063536.1199999996</v>
      </c>
      <c r="G119" s="733">
        <v>10524234.51</v>
      </c>
      <c r="H119" s="733">
        <f>E119/12*5</f>
        <v>45012454.966744304</v>
      </c>
      <c r="I119" s="44">
        <f t="shared" si="1"/>
        <v>34488220.456744306</v>
      </c>
      <c r="J119" s="124">
        <f t="shared" si="2"/>
        <v>0.76619283445492103</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68124.52</v>
      </c>
      <c r="G122" s="733">
        <v>347435.26999999996</v>
      </c>
      <c r="H122" s="733">
        <f>E122/12*5</f>
        <v>720343.15731320437</v>
      </c>
      <c r="I122" s="44">
        <f t="shared" si="1"/>
        <v>372907.88731320441</v>
      </c>
      <c r="J122" s="124">
        <f t="shared" si="2"/>
        <v>0.5176808907356143</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E129/12*5</f>
        <v>22193855.862467386</v>
      </c>
      <c r="I129" s="44">
        <f t="shared" si="1"/>
        <v>22193855.862467386</v>
      </c>
      <c r="J129" s="124">
        <f t="shared" si="2"/>
        <v>1</v>
      </c>
      <c r="K129" s="735">
        <f>E129</f>
        <v>53265254.069921724</v>
      </c>
    </row>
    <row r="130" spans="1:11" ht="12.75" customHeight="1" x14ac:dyDescent="0.25">
      <c r="A130" s="518" t="s">
        <v>711</v>
      </c>
      <c r="B130" s="169"/>
      <c r="C130" s="648">
        <f t="shared" ref="C130:H130" si="21">SUM(C131:C133)</f>
        <v>0</v>
      </c>
      <c r="D130" s="649">
        <f t="shared" si="21"/>
        <v>0</v>
      </c>
      <c r="E130" s="408">
        <f t="shared" si="21"/>
        <v>0</v>
      </c>
      <c r="F130" s="408">
        <f t="shared" si="21"/>
        <v>2900.76</v>
      </c>
      <c r="G130" s="408">
        <f t="shared" si="21"/>
        <v>14793.949999999999</v>
      </c>
      <c r="H130" s="408">
        <f t="shared" si="21"/>
        <v>0</v>
      </c>
      <c r="I130" s="258">
        <f t="shared" si="1"/>
        <v>-14793.949999999999</v>
      </c>
      <c r="J130" s="575" t="e">
        <f t="shared" si="2"/>
        <v>#DIV/0!</v>
      </c>
      <c r="K130" s="642">
        <f>SUM(K131:K133)</f>
        <v>0</v>
      </c>
    </row>
    <row r="131" spans="1:11" ht="12.75" customHeight="1" x14ac:dyDescent="0.25">
      <c r="A131" s="574" t="s">
        <v>1309</v>
      </c>
      <c r="B131" s="169"/>
      <c r="C131" s="748"/>
      <c r="D131" s="753"/>
      <c r="E131" s="733"/>
      <c r="F131" s="733">
        <v>2900.76</v>
      </c>
      <c r="G131" s="733">
        <v>14793.949999999999</v>
      </c>
      <c r="H131" s="733"/>
      <c r="I131" s="44">
        <f t="shared" si="1"/>
        <v>-14793.949999999999</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84895040.004187733</v>
      </c>
      <c r="E138" s="942">
        <f t="shared" si="24"/>
        <v>84895040.004187733</v>
      </c>
      <c r="F138" s="942">
        <f t="shared" si="24"/>
        <v>860868.27000000014</v>
      </c>
      <c r="G138" s="942">
        <f t="shared" si="24"/>
        <v>4390428.0199999996</v>
      </c>
      <c r="H138" s="942">
        <f t="shared" si="24"/>
        <v>35372933.335078217</v>
      </c>
      <c r="I138" s="942">
        <f t="shared" ref="I138:I146" si="25">H138-G138</f>
        <v>30982505.315078218</v>
      </c>
      <c r="J138" s="324">
        <f t="shared" si="23"/>
        <v>0.87588170937336007</v>
      </c>
      <c r="K138" s="943">
        <f>SUM(K139:K140)</f>
        <v>84895040.004187733</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84895040.004187733</v>
      </c>
      <c r="E140" s="408">
        <f t="shared" si="26"/>
        <v>84895040.004187733</v>
      </c>
      <c r="F140" s="408">
        <f t="shared" si="26"/>
        <v>860868.27000000014</v>
      </c>
      <c r="G140" s="408">
        <f t="shared" si="26"/>
        <v>4390428.0199999996</v>
      </c>
      <c r="H140" s="408">
        <f t="shared" si="26"/>
        <v>35372933.335078217</v>
      </c>
      <c r="I140" s="258">
        <f t="shared" si="25"/>
        <v>30982505.315078218</v>
      </c>
      <c r="J140" s="575">
        <f t="shared" si="23"/>
        <v>0.87588170937336007</v>
      </c>
      <c r="K140" s="642">
        <f>SUM(K141:K146)</f>
        <v>84895040.004187733</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v>83121985.914557993</v>
      </c>
      <c r="E144" s="733">
        <v>83121985.914557993</v>
      </c>
      <c r="F144" s="733">
        <v>860868.27000000014</v>
      </c>
      <c r="G144" s="733">
        <v>4390428.0199999996</v>
      </c>
      <c r="H144" s="733">
        <f>E144/12*5</f>
        <v>34634160.797732495</v>
      </c>
      <c r="I144" s="44">
        <f t="shared" si="25"/>
        <v>30243732.777732495</v>
      </c>
      <c r="J144" s="124">
        <f t="shared" si="23"/>
        <v>0.87323417346126542</v>
      </c>
      <c r="K144" s="735">
        <f>E144</f>
        <v>83121985.914557993</v>
      </c>
    </row>
    <row r="145" spans="1:12" ht="12.75" customHeight="1" x14ac:dyDescent="0.25">
      <c r="A145" s="574" t="s">
        <v>1319</v>
      </c>
      <c r="B145" s="169"/>
      <c r="C145" s="748"/>
      <c r="D145" s="753">
        <v>1773054.0896297402</v>
      </c>
      <c r="E145" s="733">
        <v>1773054.0896297402</v>
      </c>
      <c r="F145" s="733"/>
      <c r="G145" s="733"/>
      <c r="H145" s="733">
        <f>E145/12*5</f>
        <v>738772.53734572511</v>
      </c>
      <c r="I145" s="44">
        <f t="shared" si="25"/>
        <v>738772.53734572511</v>
      </c>
      <c r="J145" s="124">
        <f t="shared" si="23"/>
        <v>1</v>
      </c>
      <c r="K145" s="735">
        <f>E145</f>
        <v>1773054.0896297402</v>
      </c>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65065902.198033363</v>
      </c>
      <c r="E148" s="578">
        <f t="shared" si="27"/>
        <v>57565902.473793715</v>
      </c>
      <c r="F148" s="578">
        <f t="shared" si="27"/>
        <v>839558.67999999982</v>
      </c>
      <c r="G148" s="578">
        <f t="shared" si="27"/>
        <v>4192155.4600000004</v>
      </c>
      <c r="H148" s="578">
        <f t="shared" si="27"/>
        <v>23985792.697414048</v>
      </c>
      <c r="I148" s="578">
        <f>H148-G148</f>
        <v>19793637.237414047</v>
      </c>
      <c r="J148" s="324">
        <f>IF(I148=0,"",I148/H148)</f>
        <v>0.82522339316090376</v>
      </c>
      <c r="K148" s="580">
        <f>SUM(K149)</f>
        <v>57565902.473793715</v>
      </c>
    </row>
    <row r="149" spans="1:12" ht="12.75" customHeight="1" x14ac:dyDescent="0.25">
      <c r="A149" s="518" t="s">
        <v>1321</v>
      </c>
      <c r="B149" s="169"/>
      <c r="C149" s="748"/>
      <c r="D149" s="753">
        <v>65065902.198033363</v>
      </c>
      <c r="E149" s="733">
        <v>57565902.473793715</v>
      </c>
      <c r="F149" s="733">
        <v>839558.67999999982</v>
      </c>
      <c r="G149" s="733">
        <v>4192155.4600000004</v>
      </c>
      <c r="H149" s="733">
        <f>E149/12*5</f>
        <v>23985792.697414048</v>
      </c>
      <c r="I149" s="44">
        <f>H149-G149</f>
        <v>19793637.237414047</v>
      </c>
      <c r="J149" s="124">
        <f>IF(I149=0,"",I149/H149)</f>
        <v>0.82522339316090376</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27965528.287261501</v>
      </c>
      <c r="E151" s="578">
        <f t="shared" si="28"/>
        <v>27965528.287261501</v>
      </c>
      <c r="F151" s="578">
        <f t="shared" si="28"/>
        <v>134233.03000000003</v>
      </c>
      <c r="G151" s="578">
        <f t="shared" si="28"/>
        <v>684636.59999999986</v>
      </c>
      <c r="H151" s="578">
        <f t="shared" si="28"/>
        <v>11652303.453025624</v>
      </c>
      <c r="I151" s="578">
        <f>H151-G151</f>
        <v>10967666.853025625</v>
      </c>
      <c r="J151" s="324">
        <f>IF(I151=0,"",I151/H151)</f>
        <v>0.94124452707913064</v>
      </c>
      <c r="K151" s="580">
        <f>SUM(K152)</f>
        <v>27965528.287261501</v>
      </c>
    </row>
    <row r="152" spans="1:12" ht="12.75" customHeight="1" x14ac:dyDescent="0.25">
      <c r="A152" s="518" t="s">
        <v>1322</v>
      </c>
      <c r="B152" s="169"/>
      <c r="C152" s="748"/>
      <c r="D152" s="753">
        <v>27965528.287261501</v>
      </c>
      <c r="E152" s="733">
        <v>27965528.287261501</v>
      </c>
      <c r="F152" s="733">
        <v>134233.03000000003</v>
      </c>
      <c r="G152" s="733">
        <v>684636.59999999986</v>
      </c>
      <c r="H152" s="733">
        <f>E152/12*5</f>
        <v>11652303.453025624</v>
      </c>
      <c r="I152" s="44">
        <f>H152-G152</f>
        <v>10967666.853025625</v>
      </c>
      <c r="J152" s="124">
        <f>IF(I152=0,"",I152/H152)</f>
        <v>0.94124452707913064</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7418705.5248501254</v>
      </c>
      <c r="E154" s="578">
        <f t="shared" si="29"/>
        <v>8368705.5248501254</v>
      </c>
      <c r="F154" s="578">
        <f t="shared" si="29"/>
        <v>645055.19999999995</v>
      </c>
      <c r="G154" s="578">
        <f t="shared" si="29"/>
        <v>3287176.6899999995</v>
      </c>
      <c r="H154" s="578">
        <f t="shared" si="29"/>
        <v>3486960.635354219</v>
      </c>
      <c r="I154" s="578">
        <f>H154-G154</f>
        <v>199783.94535421953</v>
      </c>
      <c r="J154" s="324">
        <f>IF(I154=0,"",I154/H154)</f>
        <v>5.7294580078884286E-2</v>
      </c>
      <c r="K154" s="580">
        <f>SUM(K155)</f>
        <v>8368705.5248501254</v>
      </c>
    </row>
    <row r="155" spans="1:12" ht="12.75" customHeight="1" x14ac:dyDescent="0.25">
      <c r="A155" s="518" t="s">
        <v>1323</v>
      </c>
      <c r="B155" s="169"/>
      <c r="C155" s="748"/>
      <c r="D155" s="753">
        <v>7418705.5248501254</v>
      </c>
      <c r="E155" s="733">
        <v>8368705.5248501254</v>
      </c>
      <c r="F155" s="733">
        <v>645055.19999999995</v>
      </c>
      <c r="G155" s="733">
        <v>3287176.6899999995</v>
      </c>
      <c r="H155" s="733">
        <f>E155/12*5</f>
        <v>3486960.635354219</v>
      </c>
      <c r="I155" s="44">
        <f>H155-G155</f>
        <v>199783.94535421953</v>
      </c>
      <c r="J155" s="124">
        <f>IF(I155=0,"",I155/H155)</f>
        <v>5.7294580078884286E-2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106660.31115601346</v>
      </c>
      <c r="E157" s="578">
        <f t="shared" si="30"/>
        <v>106660.31115601346</v>
      </c>
      <c r="F157" s="578">
        <f t="shared" si="30"/>
        <v>1267253.8700000001</v>
      </c>
      <c r="G157" s="578">
        <f t="shared" si="30"/>
        <v>6059309.0100000007</v>
      </c>
      <c r="H157" s="578">
        <f t="shared" si="30"/>
        <v>44441.796315005602</v>
      </c>
      <c r="I157" s="578">
        <f>H157-G157</f>
        <v>-6014867.2136849947</v>
      </c>
      <c r="J157" s="324">
        <f>IF(I157=0,"",I157/H157)</f>
        <v>-135.34257641278325</v>
      </c>
      <c r="K157" s="580">
        <f>SUM(K158)</f>
        <v>106660.31115601346</v>
      </c>
    </row>
    <row r="158" spans="1:12" ht="12.75" customHeight="1" x14ac:dyDescent="0.25">
      <c r="A158" s="518" t="s">
        <v>1324</v>
      </c>
      <c r="B158" s="169"/>
      <c r="C158" s="748"/>
      <c r="D158" s="753">
        <v>106660.31115601346</v>
      </c>
      <c r="E158" s="733">
        <v>106660.31115601346</v>
      </c>
      <c r="F158" s="733">
        <v>1267253.8700000001</v>
      </c>
      <c r="G158" s="733">
        <v>6059309.0100000007</v>
      </c>
      <c r="H158" s="733">
        <f>E158/12*5</f>
        <v>44441.796315005602</v>
      </c>
      <c r="I158" s="44">
        <f>H158-G158</f>
        <v>-6014867.2136849947</v>
      </c>
      <c r="J158" s="124">
        <f>IF(I158=0,"",I158/H158)</f>
        <v>-135.34257641278325</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33">C7+C75+C103+C110+C117+C135+C138+C148+C151+C154+C157+C160+C163</f>
        <v>0</v>
      </c>
      <c r="D166" s="271">
        <f t="shared" si="33"/>
        <v>488991448.27473986</v>
      </c>
      <c r="E166" s="55">
        <f t="shared" si="33"/>
        <v>482441448.55050027</v>
      </c>
      <c r="F166" s="55">
        <f t="shared" si="33"/>
        <v>34708045.859999992</v>
      </c>
      <c r="G166" s="55">
        <f t="shared" si="33"/>
        <v>176512636.59999999</v>
      </c>
      <c r="H166" s="55">
        <f t="shared" si="33"/>
        <v>201017270.22937512</v>
      </c>
      <c r="I166" s="55">
        <f t="shared" si="1"/>
        <v>24504633.62937513</v>
      </c>
      <c r="J166" s="290">
        <f t="shared" si="2"/>
        <v>0.12190312604192459</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34" activePane="bottomRight" state="frozen"/>
      <selection pane="topRight"/>
      <selection pane="bottomLeft"/>
      <selection pane="bottomRight" activeCell="F144" sqref="F14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"&amp;S71Se&amp; " - "&amp;Head57</f>
        <v>KZN225 Msunduzi - Supporting Table SC13e Monthly Budget Statement - capital expenditure on upgrading of existing assets by asset class - M05 November</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57031962.017634988</v>
      </c>
      <c r="F7" s="102">
        <f t="shared" si="0"/>
        <v>36421758.43</v>
      </c>
      <c r="G7" s="102">
        <f t="shared" si="0"/>
        <v>113896121.88000001</v>
      </c>
      <c r="H7" s="102">
        <f t="shared" si="0"/>
        <v>23763317.507347912</v>
      </c>
      <c r="I7" s="101">
        <f t="shared" ref="I7:I133" si="1">H7-G7</f>
        <v>-90132804.372652099</v>
      </c>
      <c r="J7" s="579">
        <f t="shared" ref="J7:J136" si="2">IF(I7=0,"",I7/H7)</f>
        <v>-3.7929386056800327</v>
      </c>
      <c r="K7" s="603">
        <f>K8+K13+K17+K27+K38+K45+K53+K63+K69</f>
        <v>57031962.017634988</v>
      </c>
    </row>
    <row r="8" spans="1:11" ht="12.75" customHeight="1" x14ac:dyDescent="0.25">
      <c r="A8" s="518" t="s">
        <v>1216</v>
      </c>
      <c r="B8" s="169"/>
      <c r="C8" s="677">
        <f t="shared" ref="C8:H8" si="3">SUM(C9:C12)</f>
        <v>0</v>
      </c>
      <c r="D8" s="609">
        <f t="shared" si="3"/>
        <v>31255314.729466628</v>
      </c>
      <c r="E8" s="608">
        <f t="shared" si="3"/>
        <v>31255314.729466628</v>
      </c>
      <c r="F8" s="608">
        <f t="shared" si="3"/>
        <v>23884333.489999998</v>
      </c>
      <c r="G8" s="608">
        <f t="shared" si="3"/>
        <v>70463748.030000001</v>
      </c>
      <c r="H8" s="608">
        <f t="shared" si="3"/>
        <v>13023047.803944428</v>
      </c>
      <c r="I8" s="258">
        <f t="shared" si="1"/>
        <v>-57440700.226055577</v>
      </c>
      <c r="J8" s="575">
        <f t="shared" si="2"/>
        <v>-4.4106956444295555</v>
      </c>
      <c r="K8" s="610">
        <f>SUM(K9:K12)</f>
        <v>31255314.729466628</v>
      </c>
    </row>
    <row r="9" spans="1:11" ht="12.75" customHeight="1" x14ac:dyDescent="0.25">
      <c r="A9" s="574" t="s">
        <v>168</v>
      </c>
      <c r="B9" s="169"/>
      <c r="C9" s="748"/>
      <c r="D9" s="745">
        <v>31255314.729466628</v>
      </c>
      <c r="E9" s="733">
        <v>31255314.729466628</v>
      </c>
      <c r="F9" s="733">
        <v>23884333.489999998</v>
      </c>
      <c r="G9" s="733">
        <v>70463748.030000001</v>
      </c>
      <c r="H9" s="733">
        <f>E9/12*5</f>
        <v>13023047.803944428</v>
      </c>
      <c r="I9" s="258">
        <f t="shared" si="1"/>
        <v>-57440700.226055577</v>
      </c>
      <c r="J9" s="575">
        <f t="shared" si="2"/>
        <v>-4.4106956444295555</v>
      </c>
      <c r="K9" s="735">
        <f>E9</f>
        <v>31255314.729466628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6743949.937317865</v>
      </c>
      <c r="I17" s="258">
        <f t="shared" si="1"/>
        <v>6743949.937317865</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E18/12*5</f>
        <v>6743949.937317865</v>
      </c>
      <c r="I18" s="258">
        <f t="shared" si="1"/>
        <v>6743949.937317865</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8683621.3599999994</v>
      </c>
      <c r="G27" s="408">
        <f t="shared" si="6"/>
        <v>21058507.859999999</v>
      </c>
      <c r="H27" s="408">
        <f t="shared" si="6"/>
        <v>2276337.6942447936</v>
      </c>
      <c r="I27" s="258">
        <f t="shared" si="1"/>
        <v>-18782170.165755205</v>
      </c>
      <c r="J27" s="575">
        <f t="shared" si="2"/>
        <v>-8.2510473789726735</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v>3272248.92</v>
      </c>
      <c r="G30" s="733">
        <v>7344312.0299999993</v>
      </c>
      <c r="H30" s="733">
        <f>E30/12*5</f>
        <v>2276337.6942447936</v>
      </c>
      <c r="I30" s="258">
        <f t="shared" si="1"/>
        <v>-5067974.3357552057</v>
      </c>
      <c r="J30" s="575">
        <f t="shared" si="2"/>
        <v>-2.2263719256454944</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5411372.4399999995</v>
      </c>
      <c r="G34" s="733">
        <v>13714195.830000002</v>
      </c>
      <c r="H34" s="733"/>
      <c r="I34" s="258">
        <f t="shared" si="1"/>
        <v>-13714195.830000002</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3853803.58</v>
      </c>
      <c r="G38" s="408">
        <f t="shared" si="7"/>
        <v>20841858.340000004</v>
      </c>
      <c r="H38" s="408">
        <f t="shared" si="7"/>
        <v>0</v>
      </c>
      <c r="I38" s="258">
        <f t="shared" si="1"/>
        <v>-20841858.340000004</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2224084.0299999998</v>
      </c>
      <c r="G40" s="733">
        <v>15999962.480000002</v>
      </c>
      <c r="H40" s="733"/>
      <c r="I40" s="258">
        <f t="shared" si="1"/>
        <v>-15999962.480000002</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v>1629719.55</v>
      </c>
      <c r="G43" s="733">
        <v>4841895.8600000003</v>
      </c>
      <c r="H43" s="733"/>
      <c r="I43" s="258">
        <f t="shared" si="1"/>
        <v>-4841895.8600000003</v>
      </c>
      <c r="J43" s="575" t="e">
        <f t="shared" si="2"/>
        <v>#DIV/0!</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4127956.9724179767</v>
      </c>
      <c r="F45" s="408">
        <f t="shared" si="8"/>
        <v>0</v>
      </c>
      <c r="G45" s="408">
        <f t="shared" si="8"/>
        <v>1532007.65</v>
      </c>
      <c r="H45" s="408">
        <f t="shared" si="8"/>
        <v>1719982.0718408236</v>
      </c>
      <c r="I45" s="258">
        <f t="shared" si="1"/>
        <v>187974.42184082372</v>
      </c>
      <c r="J45" s="575">
        <f t="shared" si="2"/>
        <v>0.1092885937117023</v>
      </c>
      <c r="K45" s="642">
        <f>SUM(K46:K52)</f>
        <v>4127956.9724179767</v>
      </c>
    </row>
    <row r="46" spans="1:11" ht="12.75" customHeight="1" x14ac:dyDescent="0.25">
      <c r="A46" s="574" t="s">
        <v>1249</v>
      </c>
      <c r="B46" s="169"/>
      <c r="C46" s="748"/>
      <c r="D46" s="745">
        <v>4127956.9724179767</v>
      </c>
      <c r="E46" s="733">
        <v>4127956.9724179767</v>
      </c>
      <c r="F46" s="733"/>
      <c r="G46" s="733">
        <v>1532007.65</v>
      </c>
      <c r="H46" s="733">
        <f>E46/12*5</f>
        <v>1719982.0718408236</v>
      </c>
      <c r="I46" s="258">
        <f t="shared" si="1"/>
        <v>187974.42184082372</v>
      </c>
      <c r="J46" s="575">
        <f t="shared" si="2"/>
        <v>0.1092885937117023</v>
      </c>
      <c r="K46" s="735">
        <f>E46</f>
        <v>4127956.9724179767</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10000000</v>
      </c>
      <c r="F75" s="578">
        <f t="shared" si="12"/>
        <v>228362.88</v>
      </c>
      <c r="G75" s="578">
        <f t="shared" si="12"/>
        <v>228362.88</v>
      </c>
      <c r="H75" s="578">
        <f t="shared" si="12"/>
        <v>4166666.666666667</v>
      </c>
      <c r="I75" s="578">
        <f t="shared" si="1"/>
        <v>3938303.7866666671</v>
      </c>
      <c r="J75" s="579">
        <f t="shared" si="2"/>
        <v>0.94519290880000006</v>
      </c>
      <c r="K75" s="580">
        <f>+K76+K99</f>
        <v>10000000</v>
      </c>
    </row>
    <row r="76" spans="1:11" ht="12.75" customHeight="1" x14ac:dyDescent="0.25">
      <c r="A76" s="518" t="s">
        <v>1268</v>
      </c>
      <c r="B76" s="169"/>
      <c r="C76" s="648">
        <f t="shared" ref="C76:H76" si="13">SUM(C77:C98)</f>
        <v>0</v>
      </c>
      <c r="D76" s="649">
        <f t="shared" si="13"/>
        <v>0</v>
      </c>
      <c r="E76" s="408">
        <f t="shared" si="13"/>
        <v>10000000</v>
      </c>
      <c r="F76" s="408">
        <f t="shared" si="13"/>
        <v>228362.88</v>
      </c>
      <c r="G76" s="408">
        <f t="shared" si="13"/>
        <v>228362.88</v>
      </c>
      <c r="H76" s="408">
        <f t="shared" si="13"/>
        <v>4166666.666666667</v>
      </c>
      <c r="I76" s="258">
        <f t="shared" si="1"/>
        <v>3938303.7866666671</v>
      </c>
      <c r="J76" s="575">
        <f t="shared" si="2"/>
        <v>0.94519290880000006</v>
      </c>
      <c r="K76" s="642">
        <f>SUM(K77:K98)</f>
        <v>10000000</v>
      </c>
    </row>
    <row r="77" spans="1:11" ht="12.75" customHeight="1" x14ac:dyDescent="0.25">
      <c r="A77" s="574" t="s">
        <v>1269</v>
      </c>
      <c r="B77" s="169"/>
      <c r="C77" s="748"/>
      <c r="D77" s="753"/>
      <c r="E77" s="733">
        <v>10000000</v>
      </c>
      <c r="F77" s="733">
        <v>228362.88</v>
      </c>
      <c r="G77" s="733">
        <v>228362.88</v>
      </c>
      <c r="H77" s="733">
        <f>E77/12*5</f>
        <v>4166666.666666667</v>
      </c>
      <c r="I77" s="44">
        <f t="shared" si="1"/>
        <v>3938303.7866666671</v>
      </c>
      <c r="J77" s="124">
        <f t="shared" si="2"/>
        <v>0.94519290880000006</v>
      </c>
      <c r="K77" s="735">
        <f>E77</f>
        <v>10000000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4066785.1172906831</v>
      </c>
      <c r="F103" s="99">
        <f t="shared" si="15"/>
        <v>0</v>
      </c>
      <c r="G103" s="99">
        <f t="shared" si="15"/>
        <v>-1082623.3999999999</v>
      </c>
      <c r="H103" s="99">
        <f t="shared" si="15"/>
        <v>1694493.7988711181</v>
      </c>
      <c r="I103" s="99">
        <f t="shared" si="1"/>
        <v>2777117.198871118</v>
      </c>
      <c r="J103" s="324">
        <f t="shared" si="2"/>
        <v>1.6389066756816992</v>
      </c>
      <c r="K103" s="195">
        <f>SUM(K104:K108)</f>
        <v>4066785.1172906831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4066785.1172906831</v>
      </c>
      <c r="F108" s="733"/>
      <c r="G108" s="733">
        <v>-1082623.3999999999</v>
      </c>
      <c r="H108" s="733">
        <f>E108/12*5</f>
        <v>1694493.7988711181</v>
      </c>
      <c r="I108" s="44">
        <f t="shared" si="1"/>
        <v>2777117.198871118</v>
      </c>
      <c r="J108" s="124">
        <f t="shared" si="2"/>
        <v>1.6389066756816992</v>
      </c>
      <c r="K108" s="735">
        <f>E108</f>
        <v>4066785.1172906831</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97000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97000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v>97000</v>
      </c>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172522.43577434224</v>
      </c>
      <c r="F148" s="578">
        <f t="shared" si="27"/>
        <v>0</v>
      </c>
      <c r="G148" s="578">
        <f t="shared" si="27"/>
        <v>0</v>
      </c>
      <c r="H148" s="578">
        <f t="shared" si="27"/>
        <v>71884.348239309271</v>
      </c>
      <c r="I148" s="578">
        <f>H148-G148</f>
        <v>71884.348239309271</v>
      </c>
      <c r="J148" s="324">
        <f>IF(I148=0,"",I148/H148)</f>
        <v>1</v>
      </c>
      <c r="K148" s="580">
        <f>SUM(K149)</f>
        <v>172522.43577434224</v>
      </c>
    </row>
    <row r="149" spans="1:12" ht="12.75" customHeight="1" x14ac:dyDescent="0.25">
      <c r="A149" s="518" t="s">
        <v>1321</v>
      </c>
      <c r="B149" s="169"/>
      <c r="C149" s="748"/>
      <c r="D149" s="753">
        <v>172522.43577434224</v>
      </c>
      <c r="E149" s="733">
        <v>172522.43577434224</v>
      </c>
      <c r="F149" s="733"/>
      <c r="G149" s="733"/>
      <c r="H149" s="733">
        <f>E149/12*5</f>
        <v>71884.348239309271</v>
      </c>
      <c r="I149" s="44">
        <f>H149-G149</f>
        <v>71884.348239309271</v>
      </c>
      <c r="J149" s="124">
        <f>IF(I149=0,"",I149/H149)</f>
        <v>1</v>
      </c>
      <c r="K149" s="735">
        <f>E149</f>
        <v>172522.43577434224</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28753.73929572371</v>
      </c>
      <c r="F151" s="578">
        <f t="shared" si="28"/>
        <v>0</v>
      </c>
      <c r="G151" s="578">
        <f t="shared" si="28"/>
        <v>0</v>
      </c>
      <c r="H151" s="578">
        <f t="shared" si="28"/>
        <v>11980.724706551546</v>
      </c>
      <c r="I151" s="578">
        <f>H151-G151</f>
        <v>11980.724706551546</v>
      </c>
      <c r="J151" s="324">
        <f>IF(I151=0,"",I151/H151)</f>
        <v>1</v>
      </c>
      <c r="K151" s="580">
        <f>SUM(K152)</f>
        <v>28753.73929572371</v>
      </c>
    </row>
    <row r="152" spans="1:12" ht="12.75" customHeight="1" x14ac:dyDescent="0.25">
      <c r="A152" s="518" t="s">
        <v>1322</v>
      </c>
      <c r="B152" s="169"/>
      <c r="C152" s="748"/>
      <c r="D152" s="753">
        <v>28753.73929572371</v>
      </c>
      <c r="E152" s="733">
        <v>28753.73929572371</v>
      </c>
      <c r="F152" s="733"/>
      <c r="G152" s="733"/>
      <c r="H152" s="733">
        <f>E152/12*5</f>
        <v>11980.724706551546</v>
      </c>
      <c r="I152" s="44">
        <f>H152-G152</f>
        <v>11980.724706551546</v>
      </c>
      <c r="J152" s="124">
        <f>IF(I152=0,"",I152/H152)</f>
        <v>1</v>
      </c>
      <c r="K152" s="735">
        <f>E152</f>
        <v>28753.73929572371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48149976.690004274</v>
      </c>
      <c r="F157" s="578">
        <f t="shared" si="30"/>
        <v>0</v>
      </c>
      <c r="G157" s="578">
        <f t="shared" si="30"/>
        <v>736833.28</v>
      </c>
      <c r="H157" s="578">
        <f t="shared" si="30"/>
        <v>20062490.287501782</v>
      </c>
      <c r="I157" s="578">
        <f>H157-G157</f>
        <v>19325657.007501781</v>
      </c>
      <c r="J157" s="324">
        <f>IF(I157=0,"",I157/H157)</f>
        <v>0.9632730897590005</v>
      </c>
      <c r="K157" s="580">
        <f>SUM(K158)</f>
        <v>48149976.690004274</v>
      </c>
    </row>
    <row r="158" spans="1:12" ht="12.75" customHeight="1" x14ac:dyDescent="0.25">
      <c r="A158" s="518" t="s">
        <v>1324</v>
      </c>
      <c r="B158" s="169"/>
      <c r="C158" s="748"/>
      <c r="D158" s="753">
        <v>48149976.690004274</v>
      </c>
      <c r="E158" s="733">
        <v>48149976.690004274</v>
      </c>
      <c r="F158" s="733"/>
      <c r="G158" s="733">
        <v>736833.28</v>
      </c>
      <c r="H158" s="733">
        <f>E158/12*5</f>
        <v>20062490.287501782</v>
      </c>
      <c r="I158" s="44">
        <f>H158-G158</f>
        <v>19325657.007501781</v>
      </c>
      <c r="J158" s="124">
        <f>IF(I158=0,"",I158/H158)</f>
        <v>0.9632730897590005</v>
      </c>
      <c r="K158" s="735">
        <f>E158</f>
        <v>48149976.690004274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119450000</v>
      </c>
      <c r="F166" s="55">
        <f t="shared" si="33"/>
        <v>36747121.310000002</v>
      </c>
      <c r="G166" s="55">
        <f t="shared" si="33"/>
        <v>113778694.64</v>
      </c>
      <c r="H166" s="55">
        <f t="shared" si="33"/>
        <v>49770833.333333343</v>
      </c>
      <c r="I166" s="55">
        <f>H166-G166</f>
        <v>-64007861.306666657</v>
      </c>
      <c r="J166" s="290">
        <f>IF(I166=0,"",I166/H166)</f>
        <v>-1.2860516294349096</v>
      </c>
      <c r="K166" s="235">
        <f>K7+K75+K103+K110+K117+K135+K138+K148+K151+K154+K157+K160+K163</f>
        <v>119450000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election activeCell="B31" sqref="B31"/>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936648.53999999957</v>
      </c>
      <c r="F3" s="43"/>
      <c r="G3" s="43"/>
      <c r="H3" s="43"/>
      <c r="I3" s="43"/>
      <c r="J3" s="43"/>
      <c r="K3" s="43"/>
    </row>
    <row r="4" spans="1:11" x14ac:dyDescent="0.25">
      <c r="A4" s="42" t="str">
        <f>LEFT('SC12'!A7,3)</f>
        <v>Aug</v>
      </c>
      <c r="B4" s="43">
        <f>'SC12'!B7</f>
        <v>66093583.333333336</v>
      </c>
      <c r="C4" s="43">
        <f>'SC12'!C7</f>
        <v>48407631.75</v>
      </c>
      <c r="D4" s="43">
        <f>'SC12'!D7</f>
        <v>0</v>
      </c>
      <c r="E4" s="45">
        <f>'SC12'!E7</f>
        <v>28293360.050000001</v>
      </c>
      <c r="F4" s="43"/>
      <c r="G4" s="43"/>
      <c r="H4" s="43"/>
      <c r="I4" s="43"/>
      <c r="J4" s="43"/>
      <c r="K4" s="43"/>
    </row>
    <row r="5" spans="1:11" x14ac:dyDescent="0.25">
      <c r="A5" s="42" t="str">
        <f>LEFT('SC12'!A8,3)</f>
        <v>Sep</v>
      </c>
      <c r="B5" s="43">
        <f>'SC12'!B8</f>
        <v>66093583.333333336</v>
      </c>
      <c r="C5" s="43">
        <f>'SC12'!C8</f>
        <v>48407631.75</v>
      </c>
      <c r="D5" s="43">
        <f>'SC12'!D8</f>
        <v>0</v>
      </c>
      <c r="E5" s="45">
        <f>'SC12'!E8</f>
        <v>51590953.230000004</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0</v>
      </c>
      <c r="F8" s="43"/>
      <c r="G8" s="43"/>
      <c r="H8" s="43"/>
      <c r="I8" s="43"/>
      <c r="J8" s="43"/>
      <c r="K8" s="43"/>
    </row>
    <row r="9" spans="1:11" x14ac:dyDescent="0.25">
      <c r="A9" s="42" t="str">
        <f>LEFT('SC12'!A12,3)</f>
        <v>Jan</v>
      </c>
      <c r="B9" s="43">
        <f>'SC12'!B12</f>
        <v>66093583.333333336</v>
      </c>
      <c r="C9" s="43">
        <f>'SC12'!C12</f>
        <v>48407631.75</v>
      </c>
      <c r="D9" s="43">
        <f>'SC12'!D12</f>
        <v>0</v>
      </c>
      <c r="E9" s="45">
        <f>'SC12'!E12</f>
        <v>0</v>
      </c>
      <c r="F9" s="43"/>
      <c r="G9" s="43"/>
      <c r="H9" s="43"/>
      <c r="I9" s="43"/>
      <c r="J9" s="43"/>
      <c r="K9" s="43"/>
    </row>
    <row r="10" spans="1:11" x14ac:dyDescent="0.25">
      <c r="A10" s="42" t="str">
        <f>LEFT('SC12'!A13,3)</f>
        <v>Feb</v>
      </c>
      <c r="B10" s="43">
        <f>'SC12'!B13</f>
        <v>66093583.333333336</v>
      </c>
      <c r="C10" s="43">
        <f>'SC12'!C13</f>
        <v>48407631.75</v>
      </c>
      <c r="D10" s="43">
        <f>'SC12'!D13</f>
        <v>0</v>
      </c>
      <c r="E10" s="45">
        <f>'SC12'!E13</f>
        <v>0</v>
      </c>
      <c r="F10" s="43"/>
      <c r="G10" s="43"/>
      <c r="H10" s="43"/>
      <c r="I10" s="43"/>
      <c r="J10" s="43"/>
      <c r="K10" s="43"/>
    </row>
    <row r="11" spans="1:11" x14ac:dyDescent="0.25">
      <c r="A11" s="42" t="str">
        <f>LEFT('SC12'!A14,3)</f>
        <v>Mar</v>
      </c>
      <c r="B11" s="43">
        <f>'SC12'!B14</f>
        <v>66093583.333333336</v>
      </c>
      <c r="C11" s="43">
        <f>'SC12'!C14</f>
        <v>48407631.75</v>
      </c>
      <c r="D11" s="43">
        <f>'SC12'!D14</f>
        <v>0</v>
      </c>
      <c r="E11" s="45">
        <f>'SC12'!E14</f>
        <v>0</v>
      </c>
      <c r="F11" s="43"/>
      <c r="G11" s="43"/>
      <c r="H11" s="43"/>
      <c r="I11" s="43"/>
      <c r="J11" s="43"/>
      <c r="K11" s="43"/>
    </row>
    <row r="12" spans="1:11" x14ac:dyDescent="0.25">
      <c r="A12" s="42" t="str">
        <f>LEFT('SC12'!A15,3)</f>
        <v>Apr</v>
      </c>
      <c r="B12" s="43">
        <f>'SC12'!B15</f>
        <v>66093583.333333336</v>
      </c>
      <c r="C12" s="43">
        <f>'SC12'!C15</f>
        <v>48407631.75</v>
      </c>
      <c r="D12" s="43">
        <f>'SC12'!D15</f>
        <v>0</v>
      </c>
      <c r="E12" s="45">
        <f>'SC12'!E15</f>
        <v>0</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936648.53999999957</v>
      </c>
      <c r="C28" s="362">
        <f>'SC12'!G6</f>
        <v>48407631.75</v>
      </c>
      <c r="D28" s="43"/>
      <c r="E28" s="43"/>
      <c r="F28" s="43"/>
      <c r="G28" s="43"/>
      <c r="H28" s="43"/>
      <c r="I28" s="43"/>
    </row>
    <row r="29" spans="1:10" x14ac:dyDescent="0.25">
      <c r="A29" s="42" t="str">
        <f>LEFT('SC12'!A7,3)</f>
        <v>Aug</v>
      </c>
      <c r="B29" s="43">
        <f>'SC12'!F7</f>
        <v>29230008.59</v>
      </c>
      <c r="C29" s="45">
        <f>'SC12'!G7</f>
        <v>96815263.5</v>
      </c>
      <c r="D29" s="43"/>
      <c r="E29" s="43"/>
      <c r="F29" s="43"/>
      <c r="G29" s="43"/>
      <c r="H29" s="43"/>
      <c r="I29" s="43"/>
    </row>
    <row r="30" spans="1:10" x14ac:dyDescent="0.25">
      <c r="A30" s="42" t="str">
        <f>LEFT('SC12'!A8,3)</f>
        <v>Sep</v>
      </c>
      <c r="B30" s="43">
        <f>'SC12'!F8</f>
        <v>80820961.820000008</v>
      </c>
      <c r="C30" s="45">
        <f>'SC12'!G8</f>
        <v>145222895.25</v>
      </c>
      <c r="D30" s="43"/>
      <c r="E30" s="43"/>
      <c r="F30" s="43"/>
      <c r="G30" s="43"/>
      <c r="H30" s="43"/>
      <c r="I30" s="43"/>
    </row>
    <row r="31" spans="1:10" x14ac:dyDescent="0.25">
      <c r="A31" s="42" t="str">
        <f>LEFT('SC12'!A9,3)</f>
        <v>Oct</v>
      </c>
      <c r="B31" s="43">
        <f>'SC12'!F9</f>
        <v>115572623.26000001</v>
      </c>
      <c r="C31" s="45">
        <f>'SC12'!G9</f>
        <v>193630527</v>
      </c>
      <c r="D31" s="43"/>
      <c r="E31" s="43"/>
      <c r="F31" s="43"/>
      <c r="G31" s="43"/>
      <c r="H31" s="43"/>
      <c r="I31" s="43"/>
    </row>
    <row r="32" spans="1:10" x14ac:dyDescent="0.25">
      <c r="A32" s="42" t="str">
        <f>LEFT('SC12'!A10,3)</f>
        <v>Nov</v>
      </c>
      <c r="B32" s="43">
        <f>'SC12'!F10</f>
        <v>180489629.83000001</v>
      </c>
      <c r="C32" s="45">
        <f>'SC12'!G10</f>
        <v>242038158.75</v>
      </c>
      <c r="D32" s="43"/>
      <c r="E32" s="43"/>
      <c r="F32" s="43"/>
      <c r="G32" s="43"/>
      <c r="H32" s="43"/>
      <c r="I32" s="43"/>
    </row>
    <row r="33" spans="1:9" x14ac:dyDescent="0.25">
      <c r="A33" s="42" t="str">
        <f>LEFT('SC12'!A11,3)</f>
        <v>Dec</v>
      </c>
      <c r="B33" s="43" t="str">
        <f>'SC12'!F11</f>
        <v/>
      </c>
      <c r="C33" s="45">
        <f>'SC12'!G11</f>
        <v>290445790.5</v>
      </c>
      <c r="D33" s="43"/>
      <c r="E33" s="43"/>
      <c r="F33" s="43"/>
      <c r="G33" s="43"/>
      <c r="H33" s="43"/>
      <c r="I33" s="43"/>
    </row>
    <row r="34" spans="1:9" x14ac:dyDescent="0.25">
      <c r="A34" s="42" t="str">
        <f>LEFT('SC12'!A12,3)</f>
        <v>Jan</v>
      </c>
      <c r="B34" s="43" t="str">
        <f>'SC12'!F12</f>
        <v/>
      </c>
      <c r="C34" s="45">
        <f>'SC12'!G12</f>
        <v>338853422.25</v>
      </c>
      <c r="D34" s="43"/>
      <c r="E34" s="43"/>
      <c r="F34" s="43"/>
      <c r="G34" s="43"/>
      <c r="H34" s="43"/>
      <c r="I34" s="43"/>
    </row>
    <row r="35" spans="1:9" x14ac:dyDescent="0.25">
      <c r="A35" s="42" t="str">
        <f>LEFT('SC12'!A13,3)</f>
        <v>Feb</v>
      </c>
      <c r="B35" s="43" t="str">
        <f>'SC12'!F13</f>
        <v/>
      </c>
      <c r="C35" s="45">
        <f>'SC12'!G13</f>
        <v>387261054</v>
      </c>
      <c r="D35" s="43"/>
      <c r="E35" s="43"/>
      <c r="F35" s="43"/>
      <c r="G35" s="43"/>
      <c r="H35" s="43"/>
      <c r="I35" s="43"/>
    </row>
    <row r="36" spans="1:9" x14ac:dyDescent="0.25">
      <c r="A36" s="42" t="str">
        <f>LEFT('SC12'!A14,3)</f>
        <v>Mar</v>
      </c>
      <c r="B36" s="43" t="str">
        <f>'SC12'!F14</f>
        <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533898793.88999999</v>
      </c>
      <c r="C53" s="43">
        <f>'SC3'!D14</f>
        <v>139733389.99000001</v>
      </c>
      <c r="D53" s="43">
        <f>'SC3'!E14</f>
        <v>114633260.59999998</v>
      </c>
      <c r="E53" s="43">
        <f>'SC3'!F14</f>
        <v>130309673.16999997</v>
      </c>
      <c r="F53" s="43">
        <f>'SC3'!G14</f>
        <v>101513987.42</v>
      </c>
      <c r="G53" s="43">
        <f>'SC3'!H14</f>
        <v>89202953.219999999</v>
      </c>
      <c r="H53" s="43">
        <f>'SC3'!I14</f>
        <v>397997089.10999995</v>
      </c>
      <c r="I53" s="43">
        <f>'SC3'!J14</f>
        <v>3251963442.4299994</v>
      </c>
    </row>
    <row r="54" spans="1:9" x14ac:dyDescent="0.25">
      <c r="A54" s="61" t="str">
        <f>Head1</f>
        <v>2019/20</v>
      </c>
      <c r="B54" s="43">
        <f>'SC3'!C15</f>
        <v>704600774.9000001</v>
      </c>
      <c r="C54" s="43">
        <f>'SC3'!D15</f>
        <v>-4325301.05</v>
      </c>
      <c r="D54" s="43">
        <f>'SC3'!E15</f>
        <v>117682805.63000001</v>
      </c>
      <c r="E54" s="43">
        <f>'SC3'!F15</f>
        <v>101021025.72999999</v>
      </c>
      <c r="F54" s="43">
        <f>'SC3'!G15</f>
        <v>97617113.169999987</v>
      </c>
      <c r="G54" s="43">
        <f>'SC3'!H15</f>
        <v>89416119.010000005</v>
      </c>
      <c r="H54" s="43">
        <f>'SC3'!I15</f>
        <v>534223289.34000003</v>
      </c>
      <c r="I54" s="43">
        <f>'SC3'!J15</f>
        <v>2831952593.4300003</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701895370.55599999</v>
      </c>
      <c r="C78" s="43">
        <f>'SC3'!K17</f>
        <v>723603474.80000007</v>
      </c>
      <c r="D78" s="43"/>
      <c r="E78" s="43"/>
      <c r="F78" s="43"/>
      <c r="G78" s="43"/>
      <c r="H78" s="43"/>
      <c r="I78" s="43"/>
      <c r="J78" s="43"/>
    </row>
    <row r="79" spans="1:10" x14ac:dyDescent="0.25">
      <c r="A79" s="61" t="str">
        <f>'SC3'!A18</f>
        <v>Commercial</v>
      </c>
      <c r="B79" s="43">
        <f>C79*0.97</f>
        <v>246005336.81129998</v>
      </c>
      <c r="C79" s="43">
        <f>'SC3'!K18</f>
        <v>253613749.28999999</v>
      </c>
      <c r="D79" s="43"/>
      <c r="E79" s="43"/>
      <c r="F79" s="43"/>
      <c r="G79" s="43"/>
      <c r="H79" s="43"/>
      <c r="I79" s="43"/>
      <c r="J79" s="43"/>
    </row>
    <row r="80" spans="1:10" x14ac:dyDescent="0.25">
      <c r="A80" s="61" t="str">
        <f>'SC3'!A19</f>
        <v>Households</v>
      </c>
      <c r="B80" s="43">
        <f>C80*0.97</f>
        <v>3436373476.0958004</v>
      </c>
      <c r="C80" s="43">
        <f>'SC3'!K19</f>
        <v>3542653068.1400003</v>
      </c>
    </row>
    <row r="81" spans="1:3" x14ac:dyDescent="0.25">
      <c r="A81" s="61" t="str">
        <f>'SC3'!A20</f>
        <v>Other</v>
      </c>
      <c r="B81" s="43">
        <f>C81*0.97</f>
        <v>232200828.67199999</v>
      </c>
      <c r="C81" s="43">
        <f>'SC3'!K20</f>
        <v>239382297.59999999</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256245094.77000001</v>
      </c>
      <c r="C103" s="405">
        <f>'SC4'!L7</f>
        <v>81130845.659999996</v>
      </c>
      <c r="D103" s="405">
        <f>'SC4'!L8</f>
        <v>0</v>
      </c>
      <c r="E103" s="405">
        <f>'SC4'!L9</f>
        <v>179563284.99000001</v>
      </c>
      <c r="F103" s="405">
        <f>'SC4'!L10</f>
        <v>0</v>
      </c>
      <c r="G103" s="405">
        <f>'SC4'!L11</f>
        <v>0</v>
      </c>
      <c r="H103" s="405">
        <f>'SC4'!L12</f>
        <v>83717874.810000002</v>
      </c>
      <c r="I103" s="405">
        <f>'SC4'!L13</f>
        <v>0</v>
      </c>
      <c r="J103" s="405">
        <f>'SC4'!L14</f>
        <v>211758765.66999999</v>
      </c>
    </row>
    <row r="104" spans="1:10" x14ac:dyDescent="0.25">
      <c r="A104" s="61" t="str">
        <f>A53</f>
        <v>Budget Year 2020/21</v>
      </c>
      <c r="B104" s="43">
        <f>'SC4'!K6</f>
        <v>391455847.33999997</v>
      </c>
      <c r="C104" s="43">
        <f>'SC4'!K7</f>
        <v>297349375.57999998</v>
      </c>
      <c r="D104" s="43">
        <f>'SC4'!K8</f>
        <v>0</v>
      </c>
      <c r="E104" s="43">
        <f>'SC4'!K9</f>
        <v>212318145.49999997</v>
      </c>
      <c r="F104" s="43">
        <f>'SC4'!K10</f>
        <v>0</v>
      </c>
      <c r="G104" s="43">
        <f>'SC4'!K11</f>
        <v>0</v>
      </c>
      <c r="H104" s="43">
        <f>'SC4'!K12</f>
        <v>78013250.450000048</v>
      </c>
      <c r="I104" s="43">
        <f>'SC4'!K13</f>
        <v>946631.06</v>
      </c>
      <c r="J104" s="43">
        <f>'SC4'!K14</f>
        <v>373249543.65999997</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A140" sqref="A140"/>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6"/>
      <c r="D8" s="1016"/>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c r="C10" s="845"/>
      <c r="D10" s="846"/>
      <c r="F10" s="823"/>
      <c r="G10" s="822"/>
      <c r="H10" s="823"/>
      <c r="I10" s="823"/>
      <c r="J10" s="822"/>
      <c r="K10" s="824"/>
      <c r="L10" s="824"/>
      <c r="M10" s="824"/>
      <c r="N10" s="824"/>
      <c r="O10" s="824"/>
      <c r="P10" s="825"/>
      <c r="Q10" s="826"/>
    </row>
    <row r="11" spans="1:17" ht="13.5" customHeight="1" x14ac:dyDescent="0.2">
      <c r="A11" s="847"/>
      <c r="B11" s="848"/>
      <c r="C11" s="1017"/>
      <c r="D11" s="1018"/>
      <c r="F11" s="823"/>
      <c r="G11" s="822"/>
      <c r="H11" s="823"/>
      <c r="I11" s="823"/>
      <c r="J11" s="822"/>
      <c r="K11" s="824"/>
      <c r="L11" s="824"/>
      <c r="M11" s="824"/>
      <c r="N11" s="824"/>
      <c r="O11" s="824"/>
      <c r="P11" s="825"/>
      <c r="Q11" s="829"/>
    </row>
    <row r="12" spans="1:17" ht="13.5" customHeight="1" x14ac:dyDescent="0.2">
      <c r="A12" s="843" t="s">
        <v>344</v>
      </c>
      <c r="B12" s="849"/>
      <c r="C12" s="850"/>
      <c r="D12" s="850"/>
      <c r="F12" s="823"/>
      <c r="G12" s="823"/>
      <c r="H12" s="823"/>
      <c r="I12" s="823"/>
      <c r="J12" s="822"/>
      <c r="K12" s="824"/>
      <c r="L12" s="824"/>
      <c r="M12" s="824"/>
      <c r="N12" s="824"/>
      <c r="O12" s="824"/>
      <c r="P12" s="825"/>
      <c r="Q12" s="826"/>
    </row>
    <row r="13" spans="1:17" ht="13.5" customHeight="1" x14ac:dyDescent="0.2">
      <c r="A13" s="851"/>
      <c r="B13" s="852"/>
      <c r="C13" s="1019"/>
      <c r="D13" s="1019"/>
      <c r="F13" s="823"/>
      <c r="G13" s="823"/>
      <c r="H13" s="823"/>
      <c r="I13" s="853"/>
      <c r="J13" s="823"/>
      <c r="K13" s="824"/>
      <c r="L13" s="824"/>
      <c r="M13" s="824"/>
      <c r="N13" s="824"/>
      <c r="O13" s="824"/>
      <c r="P13" s="825"/>
    </row>
    <row r="14" spans="1:17" ht="13.5" customHeight="1" thickBot="1" x14ac:dyDescent="0.25">
      <c r="A14" s="1020" t="s">
        <v>345</v>
      </c>
      <c r="B14" s="1021"/>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c r="C16" s="812"/>
      <c r="D16" s="812"/>
      <c r="E16" s="834"/>
      <c r="F16" s="854"/>
      <c r="G16" s="853"/>
      <c r="H16" s="854"/>
      <c r="I16" s="854"/>
      <c r="J16" s="823"/>
      <c r="K16" s="824"/>
      <c r="L16" s="824"/>
      <c r="M16" s="824"/>
      <c r="N16" s="824"/>
      <c r="O16" s="824"/>
      <c r="P16" s="825"/>
      <c r="Q16" s="813"/>
    </row>
    <row r="17" spans="1:17" ht="13.5" customHeight="1" x14ac:dyDescent="0.2">
      <c r="A17" s="857" t="s">
        <v>348</v>
      </c>
      <c r="B17" s="858"/>
      <c r="F17" s="854"/>
      <c r="G17" s="854"/>
      <c r="H17" s="854"/>
      <c r="I17" s="854"/>
      <c r="J17" s="853"/>
      <c r="K17" s="824"/>
      <c r="L17" s="824"/>
      <c r="M17" s="824"/>
      <c r="N17" s="824"/>
      <c r="O17" s="824"/>
      <c r="P17" s="825"/>
    </row>
    <row r="18" spans="1:17" ht="13.5" customHeight="1" x14ac:dyDescent="0.2">
      <c r="A18" s="859" t="s">
        <v>349</v>
      </c>
      <c r="B18" s="860"/>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c r="F21" s="854"/>
      <c r="G21" s="854"/>
      <c r="H21" s="854"/>
      <c r="I21" s="854"/>
      <c r="J21" s="854"/>
      <c r="K21" s="824"/>
      <c r="L21" s="824"/>
      <c r="M21" s="824"/>
      <c r="N21" s="824"/>
      <c r="O21" s="824"/>
      <c r="P21" s="825"/>
    </row>
    <row r="22" spans="1:17" ht="13.5" customHeight="1" x14ac:dyDescent="0.2">
      <c r="A22" s="857" t="s">
        <v>352</v>
      </c>
      <c r="B22" s="858"/>
      <c r="F22" s="854"/>
      <c r="G22" s="854"/>
      <c r="H22" s="854"/>
      <c r="I22" s="854"/>
      <c r="J22" s="854"/>
      <c r="K22" s="824"/>
      <c r="L22" s="824"/>
      <c r="M22" s="824"/>
      <c r="N22" s="824"/>
      <c r="O22" s="824"/>
      <c r="P22" s="825"/>
    </row>
    <row r="23" spans="1:17" ht="13.5" customHeight="1" x14ac:dyDescent="0.2">
      <c r="A23" s="857" t="s">
        <v>348</v>
      </c>
      <c r="B23" s="858"/>
      <c r="F23" s="854"/>
      <c r="G23" s="854"/>
      <c r="H23" s="854"/>
      <c r="I23" s="854"/>
      <c r="J23" s="854"/>
      <c r="K23" s="824"/>
      <c r="L23" s="824"/>
      <c r="M23" s="824"/>
      <c r="N23" s="824"/>
      <c r="O23" s="824"/>
      <c r="P23" s="825"/>
    </row>
    <row r="24" spans="1:17" ht="13.5" customHeight="1" x14ac:dyDescent="0.2">
      <c r="A24" s="859" t="s">
        <v>349</v>
      </c>
      <c r="B24" s="860"/>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c r="F27" s="854"/>
      <c r="G27" s="854"/>
      <c r="H27" s="854"/>
      <c r="I27" s="854"/>
      <c r="J27" s="854"/>
      <c r="K27" s="824"/>
      <c r="L27" s="824"/>
      <c r="M27" s="824"/>
      <c r="N27" s="824"/>
      <c r="O27" s="824"/>
      <c r="P27" s="825"/>
    </row>
    <row r="28" spans="1:17" ht="13.5" customHeight="1" x14ac:dyDescent="0.2">
      <c r="A28" s="859" t="s">
        <v>355</v>
      </c>
      <c r="B28" s="867"/>
      <c r="J28" s="854"/>
      <c r="K28" s="854"/>
      <c r="L28" s="854"/>
      <c r="M28" s="854"/>
      <c r="N28" s="854"/>
      <c r="O28" s="854"/>
      <c r="P28" s="825"/>
    </row>
    <row r="29" spans="1:17" ht="13.5" customHeight="1" x14ac:dyDescent="0.2">
      <c r="A29" s="861"/>
      <c r="B29" s="868"/>
      <c r="P29" s="825"/>
    </row>
    <row r="30" spans="1:17" ht="13.5" customHeight="1" thickBot="1" x14ac:dyDescent="0.25">
      <c r="A30" s="1022" t="s">
        <v>356</v>
      </c>
      <c r="B30" s="1023"/>
      <c r="C30" s="1024"/>
      <c r="D30" s="1025"/>
      <c r="P30" s="825"/>
    </row>
    <row r="31" spans="1:17" ht="13.5" customHeight="1" thickTop="1" x14ac:dyDescent="0.2">
      <c r="A31" s="863" t="s">
        <v>357</v>
      </c>
      <c r="B31" s="864"/>
      <c r="C31" s="1026" t="s">
        <v>358</v>
      </c>
      <c r="D31" s="1030"/>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c r="P34" s="825"/>
    </row>
    <row r="35" spans="1:17" ht="13.5" customHeight="1" x14ac:dyDescent="0.2">
      <c r="A35" s="857" t="s">
        <v>354</v>
      </c>
      <c r="B35" s="869"/>
      <c r="C35" s="857" t="s">
        <v>354</v>
      </c>
      <c r="D35" s="869"/>
      <c r="F35" s="822"/>
      <c r="G35" s="824"/>
      <c r="P35" s="825"/>
    </row>
    <row r="36" spans="1:17" ht="13.5" customHeight="1" x14ac:dyDescent="0.2">
      <c r="A36" s="857" t="s">
        <v>360</v>
      </c>
      <c r="B36" s="869"/>
      <c r="C36" s="857" t="s">
        <v>360</v>
      </c>
      <c r="D36" s="869"/>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c r="F38" s="823"/>
      <c r="G38" s="824"/>
      <c r="P38" s="825"/>
    </row>
    <row r="39" spans="1:17" ht="13.5" customHeight="1" x14ac:dyDescent="0.2">
      <c r="A39" s="857"/>
      <c r="B39" s="869"/>
      <c r="C39" s="857"/>
      <c r="D39" s="869"/>
      <c r="F39" s="823"/>
      <c r="G39" s="824"/>
      <c r="P39" s="825"/>
    </row>
    <row r="40" spans="1:17" ht="13.5" customHeight="1" x14ac:dyDescent="0.2">
      <c r="A40" s="1028" t="s">
        <v>362</v>
      </c>
      <c r="B40" s="1031"/>
      <c r="C40" s="1028" t="s">
        <v>363</v>
      </c>
      <c r="D40" s="1031"/>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c r="C43" s="857" t="s">
        <v>359</v>
      </c>
      <c r="D43" s="858"/>
      <c r="F43" s="823"/>
      <c r="G43" s="824"/>
      <c r="P43" s="825"/>
    </row>
    <row r="44" spans="1:17" ht="13.5" customHeight="1" x14ac:dyDescent="0.2">
      <c r="A44" s="857" t="s">
        <v>354</v>
      </c>
      <c r="B44" s="858"/>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28" t="s">
        <v>364</v>
      </c>
      <c r="B49" s="1031"/>
      <c r="C49" s="1028" t="s">
        <v>365</v>
      </c>
      <c r="D49" s="1031"/>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c r="C52" s="857" t="s">
        <v>359</v>
      </c>
      <c r="D52" s="858"/>
      <c r="F52" s="854"/>
      <c r="G52" s="824"/>
      <c r="P52" s="825"/>
    </row>
    <row r="53" spans="1:17" ht="13.5" customHeight="1" x14ac:dyDescent="0.2">
      <c r="A53" s="857" t="s">
        <v>354</v>
      </c>
      <c r="B53" s="858"/>
      <c r="C53" s="857" t="s">
        <v>354</v>
      </c>
      <c r="D53" s="858"/>
      <c r="F53" s="854"/>
      <c r="G53" s="824"/>
      <c r="P53" s="825"/>
    </row>
    <row r="54" spans="1:17" ht="13.5" customHeight="1" x14ac:dyDescent="0.2">
      <c r="A54" s="857" t="s">
        <v>360</v>
      </c>
      <c r="B54" s="858"/>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2" t="s">
        <v>366</v>
      </c>
      <c r="B58" s="1033"/>
      <c r="C58" s="1024"/>
      <c r="D58" s="1034"/>
      <c r="E58" s="812"/>
      <c r="F58" s="854"/>
      <c r="G58" s="824"/>
      <c r="P58" s="825"/>
    </row>
    <row r="59" spans="1:17" s="874" customFormat="1" ht="13.5" customHeight="1" thickTop="1" x14ac:dyDescent="0.2">
      <c r="A59" s="863" t="s">
        <v>367</v>
      </c>
      <c r="B59" s="864"/>
      <c r="C59" s="1026" t="s">
        <v>368</v>
      </c>
      <c r="D59" s="1027"/>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28" t="s">
        <v>370</v>
      </c>
      <c r="D68" s="1029"/>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2" t="s">
        <v>371</v>
      </c>
      <c r="B77" s="1013"/>
      <c r="C77" s="1012" t="s">
        <v>371</v>
      </c>
      <c r="D77" s="1013"/>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2" t="s">
        <v>371</v>
      </c>
      <c r="B85" s="1013"/>
      <c r="C85" s="1012" t="s">
        <v>371</v>
      </c>
      <c r="D85" s="1013"/>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2" t="s">
        <v>371</v>
      </c>
      <c r="B93" s="1013"/>
      <c r="C93" s="1012" t="s">
        <v>371</v>
      </c>
      <c r="D93" s="1013"/>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2" t="s">
        <v>371</v>
      </c>
      <c r="B101" s="1013"/>
      <c r="C101" s="1012" t="s">
        <v>371</v>
      </c>
      <c r="D101" s="1013"/>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2" t="s">
        <v>371</v>
      </c>
      <c r="B109" s="1013"/>
      <c r="C109" s="1012" t="s">
        <v>371</v>
      </c>
      <c r="D109" s="1013"/>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2" t="s">
        <v>371</v>
      </c>
      <c r="B117" s="1013"/>
      <c r="C117" s="1012" t="s">
        <v>371</v>
      </c>
      <c r="D117" s="1013"/>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2" t="s">
        <v>371</v>
      </c>
      <c r="B125" s="1013"/>
      <c r="C125" s="1012" t="s">
        <v>371</v>
      </c>
      <c r="D125" s="1013"/>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2" t="s">
        <v>371</v>
      </c>
      <c r="B133" s="1013"/>
      <c r="C133" s="1014"/>
      <c r="D133" s="1015"/>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sqref="A1:XFD1048576"/>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Monthly Budget Statement Summary - M05 November</v>
      </c>
      <c r="B1" s="346"/>
      <c r="C1" s="346"/>
      <c r="D1" s="346"/>
      <c r="E1" s="346"/>
      <c r="F1" s="346"/>
      <c r="G1" s="346"/>
      <c r="H1" s="346"/>
      <c r="I1" s="346"/>
      <c r="J1" s="346"/>
    </row>
    <row r="2" spans="1:10" x14ac:dyDescent="0.25">
      <c r="A2" s="1036" t="str">
        <f>desc</f>
        <v>Description</v>
      </c>
      <c r="B2" s="158" t="str">
        <f>Head1</f>
        <v>2019/20</v>
      </c>
      <c r="C2" s="1038" t="str">
        <f>Head2</f>
        <v>Budget Year 2020/21</v>
      </c>
      <c r="D2" s="1039"/>
      <c r="E2" s="1039"/>
      <c r="F2" s="1039"/>
      <c r="G2" s="1039"/>
      <c r="H2" s="1039"/>
      <c r="I2" s="1039"/>
      <c r="J2" s="1040"/>
    </row>
    <row r="3" spans="1:10" ht="25.5" x14ac:dyDescent="0.25">
      <c r="A3" s="1037"/>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93714917.719999984</v>
      </c>
      <c r="F6" s="408">
        <f>SUM('C4-FinPerf RE'!G6:G6)</f>
        <v>504592894.10999995</v>
      </c>
      <c r="G6" s="650">
        <f>SUM('C4-FinPerf RE'!H6:H6)</f>
        <v>529081080.84241658</v>
      </c>
      <c r="H6" s="408">
        <f>F6-G6</f>
        <v>-24488186.73241663</v>
      </c>
      <c r="I6" s="591">
        <f>IF(H6=0,"",H6/G6)</f>
        <v>-4.6284374208629624E-2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272809182.05000001</v>
      </c>
      <c r="F7" s="408">
        <f>SUM('C4-FinPerf RE'!G7:G10)</f>
        <v>1446615993.4000001</v>
      </c>
      <c r="G7" s="650">
        <f>SUM('C4-FinPerf RE'!H7:H10)</f>
        <v>1489901500.95538</v>
      </c>
      <c r="H7" s="408">
        <f>F7-G7</f>
        <v>-43285507.555379868</v>
      </c>
      <c r="I7" s="207">
        <f>IF(H7=0,"",H7/G7)</f>
        <v>-2.9052596784165663E-2</v>
      </c>
      <c r="J7" s="642">
        <f>SUM('C4-FinPerf RE'!K7:K10)</f>
        <v>3575763602.2929115</v>
      </c>
    </row>
    <row r="8" spans="1:10" ht="12.75" customHeight="1" x14ac:dyDescent="0.25">
      <c r="A8" s="152" t="s">
        <v>496</v>
      </c>
      <c r="B8" s="648">
        <f>'C4-FinPerf RE'!C13</f>
        <v>0</v>
      </c>
      <c r="C8" s="649">
        <f>'C4-FinPerf RE'!D13</f>
        <v>15260422.42725</v>
      </c>
      <c r="D8" s="408">
        <f>'C4-FinPerf RE'!E13</f>
        <v>15260422.42725</v>
      </c>
      <c r="E8" s="408">
        <f>'C4-FinPerf RE'!F13</f>
        <v>397812.61</v>
      </c>
      <c r="F8" s="408">
        <f>'C4-FinPerf RE'!G13</f>
        <v>3066498.5100000002</v>
      </c>
      <c r="G8" s="650">
        <f>'C4-FinPerf RE'!H13</f>
        <v>6358509.3446875</v>
      </c>
      <c r="H8" s="408">
        <f>F8-G8</f>
        <v>-3292010.8346874998</v>
      </c>
      <c r="I8" s="207">
        <f>IF(H8=0,"",H8/G8)</f>
        <v>-0.51773311262614674</v>
      </c>
      <c r="J8" s="642">
        <f>'C4-FinPerf RE'!K13</f>
        <v>15260422.42725</v>
      </c>
    </row>
    <row r="9" spans="1:10" ht="12.75" customHeight="1" x14ac:dyDescent="0.25">
      <c r="A9" s="152" t="s">
        <v>1118</v>
      </c>
      <c r="B9" s="648">
        <f>'C4-FinPerf RE'!C19</f>
        <v>0</v>
      </c>
      <c r="C9" s="649">
        <f>'C4-FinPerf RE'!D19</f>
        <v>675483240</v>
      </c>
      <c r="D9" s="408">
        <f>'C4-FinPerf RE'!E19</f>
        <v>764481240</v>
      </c>
      <c r="E9" s="408">
        <f>'C4-FinPerf RE'!F19</f>
        <v>5348308.3699999992</v>
      </c>
      <c r="F9" s="408">
        <f>'C4-FinPerf RE'!G19</f>
        <v>293615675.90000004</v>
      </c>
      <c r="G9" s="650">
        <f>'C4-FinPerf RE'!H19</f>
        <v>318533850</v>
      </c>
      <c r="H9" s="408">
        <f>F9-G9</f>
        <v>-24918174.099999964</v>
      </c>
      <c r="I9" s="207">
        <f>IF(H9=0,"",H9/G9)</f>
        <v>-7.8227711434750075E-2</v>
      </c>
      <c r="J9" s="642">
        <f>'C4-FinPerf RE'!K19</f>
        <v>764481240</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22337240.310000002</v>
      </c>
      <c r="F10" s="409">
        <f>'C4-FinPerf RE'!G12+'C4-FinPerf RE'!G14+'C4-FinPerf RE'!G15+'C4-FinPerf RE'!G16+'C4-FinPerf RE'!G17+'C4-FinPerf RE'!G18+'C4-FinPerf RE'!G20+'C4-FinPerf RE'!G21</f>
        <v>136772300.63999996</v>
      </c>
      <c r="G10" s="653">
        <f>'C4-FinPerf RE'!H12+'C4-FinPerf RE'!H14+'C4-FinPerf RE'!H15+'C4-FinPerf RE'!H16+'C4-FinPerf RE'!H17+'C4-FinPerf RE'!H18+'C4-FinPerf RE'!H20+'C4-FinPerf RE'!H21</f>
        <v>158961832.97087497</v>
      </c>
      <c r="H10" s="409">
        <f>F10-G10</f>
        <v>-22189532.330875009</v>
      </c>
      <c r="I10" s="208">
        <f>IF(H10=0,"",H10/G10)</f>
        <v>-0.13959031495906682</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6006808257.8720617</v>
      </c>
      <c r="E11" s="657">
        <f t="shared" si="0"/>
        <v>394607461.06</v>
      </c>
      <c r="F11" s="657">
        <f t="shared" si="0"/>
        <v>2384663362.5599999</v>
      </c>
      <c r="G11" s="658">
        <f t="shared" si="0"/>
        <v>2502836774.1133585</v>
      </c>
      <c r="H11" s="657">
        <f t="shared" ref="H11:H25" si="1">F11-G11</f>
        <v>-118173411.55335855</v>
      </c>
      <c r="I11" s="593">
        <f t="shared" ref="I11:I25" si="2">IF(H11=0,"",H11/G11)</f>
        <v>-4.721578841082117E-2</v>
      </c>
      <c r="J11" s="659">
        <f t="shared" si="0"/>
        <v>6006808257.8720617</v>
      </c>
    </row>
    <row r="12" spans="1:10" ht="12.75" customHeight="1" x14ac:dyDescent="0.25">
      <c r="A12" s="152" t="s">
        <v>475</v>
      </c>
      <c r="B12" s="648">
        <f>'C4-FinPerf RE'!C25</f>
        <v>0</v>
      </c>
      <c r="C12" s="649">
        <f>'C4-FinPerf RE'!D25</f>
        <v>1467373084.0741799</v>
      </c>
      <c r="D12" s="408">
        <f>'C4-FinPerf RE'!E25</f>
        <v>1478324304.2495084</v>
      </c>
      <c r="E12" s="408">
        <f>'C4-FinPerf RE'!F25</f>
        <v>106761533.07000008</v>
      </c>
      <c r="F12" s="408">
        <f>'C4-FinPerf RE'!G25</f>
        <v>597565465.65000021</v>
      </c>
      <c r="G12" s="650">
        <f>'C4-FinPerf RE'!H25</f>
        <v>615968460.10396183</v>
      </c>
      <c r="H12" s="408">
        <f t="shared" si="1"/>
        <v>-18402994.453961611</v>
      </c>
      <c r="I12" s="207">
        <f t="shared" si="2"/>
        <v>-2.9876520708309633E-2</v>
      </c>
      <c r="J12" s="642">
        <f>'C4-FinPerf RE'!K25</f>
        <v>1478324304.2495084</v>
      </c>
    </row>
    <row r="13" spans="1:10" ht="12.75" customHeight="1" x14ac:dyDescent="0.25">
      <c r="A13" s="152" t="s">
        <v>842</v>
      </c>
      <c r="B13" s="648">
        <f>'C4-FinPerf RE'!C26</f>
        <v>0</v>
      </c>
      <c r="C13" s="649">
        <f>'C4-FinPerf RE'!D26</f>
        <v>53650401.115479976</v>
      </c>
      <c r="D13" s="408">
        <f>'C4-FinPerf RE'!E26</f>
        <v>53650401.439999998</v>
      </c>
      <c r="E13" s="408">
        <f>'C4-FinPerf RE'!F26</f>
        <v>4013638.03</v>
      </c>
      <c r="F13" s="408">
        <f>'C4-FinPerf RE'!G26</f>
        <v>21626131.23</v>
      </c>
      <c r="G13" s="650">
        <f>'C4-FinPerf RE'!H26</f>
        <v>22354333.93333333</v>
      </c>
      <c r="H13" s="408">
        <f t="shared" si="1"/>
        <v>-728202.70333332941</v>
      </c>
      <c r="I13" s="207">
        <f t="shared" si="2"/>
        <v>-3.2575459662767266E-2</v>
      </c>
      <c r="J13" s="642">
        <f>'C4-FinPerf RE'!K26</f>
        <v>53650401.439999998</v>
      </c>
    </row>
    <row r="14" spans="1:10" ht="12.75" customHeight="1" x14ac:dyDescent="0.25">
      <c r="A14" s="581" t="s">
        <v>664</v>
      </c>
      <c r="B14" s="648">
        <f>'C4-FinPerf RE'!C28</f>
        <v>0</v>
      </c>
      <c r="C14" s="649">
        <f>'C4-FinPerf RE'!D28</f>
        <v>488991448.27473986</v>
      </c>
      <c r="D14" s="408">
        <f>'C4-FinPerf RE'!E28</f>
        <v>481491449.27473986</v>
      </c>
      <c r="E14" s="408">
        <f>'C4-FinPerf RE'!F28</f>
        <v>34708045.85999997</v>
      </c>
      <c r="F14" s="408">
        <f>'C4-FinPerf RE'!G28</f>
        <v>176512636.59999999</v>
      </c>
      <c r="G14" s="650">
        <f>'C4-FinPerf RE'!H28</f>
        <v>200621437.1978083</v>
      </c>
      <c r="H14" s="408">
        <f t="shared" si="1"/>
        <v>-24108800.597808301</v>
      </c>
      <c r="I14" s="207">
        <f t="shared" si="2"/>
        <v>-0.12017061055164088</v>
      </c>
      <c r="J14" s="642">
        <f>'C4-FinPerf RE'!K28</f>
        <v>481491449.27473986</v>
      </c>
    </row>
    <row r="15" spans="1:10" ht="12.75" customHeight="1" x14ac:dyDescent="0.25">
      <c r="A15" s="152" t="s">
        <v>452</v>
      </c>
      <c r="B15" s="648">
        <f>'C4-FinPerf RE'!C29</f>
        <v>0</v>
      </c>
      <c r="C15" s="649">
        <f>'C4-FinPerf RE'!D29</f>
        <v>31793212.220000003</v>
      </c>
      <c r="D15" s="408">
        <f>'C4-FinPerf RE'!E29</f>
        <v>36505334.219999969</v>
      </c>
      <c r="E15" s="408">
        <f>'C4-FinPerf RE'!F29</f>
        <v>2965268.6899999995</v>
      </c>
      <c r="F15" s="408">
        <f>'C4-FinPerf RE'!G29</f>
        <v>16438897.84</v>
      </c>
      <c r="G15" s="650">
        <f>'C4-FinPerf RE'!H29</f>
        <v>15210555.924999986</v>
      </c>
      <c r="H15" s="408">
        <f t="shared" si="1"/>
        <v>1228341.915000014</v>
      </c>
      <c r="I15" s="207">
        <f t="shared" si="2"/>
        <v>8.0755885653141582E-2</v>
      </c>
      <c r="J15" s="642">
        <f>'C4-FinPerf RE'!K29</f>
        <v>36505334.219999969</v>
      </c>
    </row>
    <row r="16" spans="1:10" ht="12.75" customHeight="1" x14ac:dyDescent="0.25">
      <c r="A16" s="152" t="s">
        <v>495</v>
      </c>
      <c r="B16" s="648">
        <f>SUM('C4-FinPerf RE'!C30:C31)</f>
        <v>0</v>
      </c>
      <c r="C16" s="649">
        <f>SUM('C4-FinPerf RE'!D30:D31)</f>
        <v>2654798900.5467896</v>
      </c>
      <c r="D16" s="408">
        <f>SUM('C4-FinPerf RE'!E30:E31)</f>
        <v>2671894291.5111384</v>
      </c>
      <c r="E16" s="408">
        <f>SUM('C4-FinPerf RE'!F30:F31)</f>
        <v>227110638.91000003</v>
      </c>
      <c r="F16" s="408">
        <f>SUM('C4-FinPerf RE'!G30:G31)</f>
        <v>1214933094.4100001</v>
      </c>
      <c r="G16" s="650">
        <f>SUM('C4-FinPerf RE'!H30:H31)</f>
        <v>1113289288.1296411</v>
      </c>
      <c r="H16" s="408">
        <f t="shared" si="1"/>
        <v>101643806.28035903</v>
      </c>
      <c r="I16" s="591">
        <f t="shared" si="2"/>
        <v>9.1300443976357337E-2</v>
      </c>
      <c r="J16" s="642">
        <f>SUM('C4-FinPerf RE'!K30:K31)</f>
        <v>2671894291.5111384</v>
      </c>
    </row>
    <row r="17" spans="1:11" ht="12.75" customHeight="1" x14ac:dyDescent="0.25">
      <c r="A17" s="152" t="s">
        <v>1118</v>
      </c>
      <c r="B17" s="648">
        <f>'C4-FinPerf RE'!C33</f>
        <v>0</v>
      </c>
      <c r="C17" s="649">
        <f>'C4-FinPerf RE'!D33</f>
        <v>25080461.44304001</v>
      </c>
      <c r="D17" s="408">
        <f>'C4-FinPerf RE'!E33</f>
        <v>58680462</v>
      </c>
      <c r="E17" s="408">
        <f>'C4-FinPerf RE'!F33</f>
        <v>5509878.8999999994</v>
      </c>
      <c r="F17" s="408">
        <f>'C4-FinPerf RE'!G33</f>
        <v>20738257.259999998</v>
      </c>
      <c r="G17" s="650">
        <f>'C4-FinPerf RE'!H33</f>
        <v>24450192.5</v>
      </c>
      <c r="H17" s="408">
        <f t="shared" si="1"/>
        <v>-3711935.2400000021</v>
      </c>
      <c r="I17" s="207">
        <f t="shared" si="2"/>
        <v>-0.15181619694814272</v>
      </c>
      <c r="J17" s="642">
        <f>'C4-FinPerf RE'!K33</f>
        <v>58680462</v>
      </c>
    </row>
    <row r="18" spans="1:11" ht="12.75" customHeight="1" x14ac:dyDescent="0.25">
      <c r="A18" s="152" t="s">
        <v>434</v>
      </c>
      <c r="B18" s="648">
        <f>'C4-FinPerf RE'!C36-SUM('C1-Sum'!B12:B17)</f>
        <v>0</v>
      </c>
      <c r="C18" s="649">
        <f>'C4-FinPerf RE'!D36-SUM('C1-Sum'!C12:C17)</f>
        <v>780277054.35849857</v>
      </c>
      <c r="D18" s="408">
        <f>'C4-FinPerf RE'!E36-SUM('C1-Sum'!D12:D17)</f>
        <v>778981927.53540039</v>
      </c>
      <c r="E18" s="408">
        <f>'C4-FinPerf RE'!F36-SUM('C1-Sum'!E12:E17)</f>
        <v>58247975.560000002</v>
      </c>
      <c r="F18" s="408">
        <f>'C4-FinPerf RE'!G36-SUM('C1-Sum'!F12:F17)</f>
        <v>259816317.42000031</v>
      </c>
      <c r="G18" s="650">
        <f>'C4-FinPerf RE'!H36-SUM('C1-Sum'!G12:G17)</f>
        <v>324575803.13975</v>
      </c>
      <c r="H18" s="408">
        <f t="shared" si="1"/>
        <v>-64759485.719749689</v>
      </c>
      <c r="I18" s="207">
        <f t="shared" si="2"/>
        <v>-0.19952037426482688</v>
      </c>
      <c r="J18" s="642">
        <f>'C4-FinPerf RE'!K36-SUM('C1-Sum'!J12:J17)</f>
        <v>778981927.53540039</v>
      </c>
    </row>
    <row r="19" spans="1:11" ht="12.75" customHeight="1" x14ac:dyDescent="0.25">
      <c r="A19" s="583" t="s">
        <v>488</v>
      </c>
      <c r="B19" s="660">
        <f t="shared" ref="B19:G19" si="3">SUM(B12:B18)</f>
        <v>0</v>
      </c>
      <c r="C19" s="661">
        <f t="shared" si="3"/>
        <v>5501964562.0327282</v>
      </c>
      <c r="D19" s="662">
        <f t="shared" si="3"/>
        <v>5559528170.2307873</v>
      </c>
      <c r="E19" s="662">
        <f t="shared" si="3"/>
        <v>439316979.02000004</v>
      </c>
      <c r="F19" s="662">
        <f t="shared" si="3"/>
        <v>2307630800.4100008</v>
      </c>
      <c r="G19" s="663">
        <f t="shared" si="3"/>
        <v>2316470070.9294944</v>
      </c>
      <c r="H19" s="662">
        <f t="shared" si="1"/>
        <v>-8839270.5194935799</v>
      </c>
      <c r="I19" s="382">
        <f t="shared" si="2"/>
        <v>-3.8158362719302396E-3</v>
      </c>
      <c r="J19" s="664">
        <f>SUM(J12:J18)</f>
        <v>5559528170.2307873</v>
      </c>
    </row>
    <row r="20" spans="1:11" ht="12.75" customHeight="1" x14ac:dyDescent="0.25">
      <c r="A20" s="153" t="s">
        <v>489</v>
      </c>
      <c r="B20" s="665">
        <f t="shared" ref="B20:G20" si="4">B11-B19</f>
        <v>0</v>
      </c>
      <c r="C20" s="666">
        <f t="shared" si="4"/>
        <v>415845695.83933353</v>
      </c>
      <c r="D20" s="637">
        <f t="shared" si="4"/>
        <v>447280087.64127445</v>
      </c>
      <c r="E20" s="637">
        <f t="shared" si="4"/>
        <v>-44709517.960000038</v>
      </c>
      <c r="F20" s="637">
        <f t="shared" si="4"/>
        <v>77032562.149999142</v>
      </c>
      <c r="G20" s="667">
        <f t="shared" si="4"/>
        <v>186366703.18386412</v>
      </c>
      <c r="H20" s="637">
        <f t="shared" si="1"/>
        <v>-109334141.03386497</v>
      </c>
      <c r="I20" s="206">
        <f t="shared" si="2"/>
        <v>-0.58666134650672552</v>
      </c>
      <c r="J20" s="641">
        <f>J11-J19</f>
        <v>447280087.64127445</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525891580.99999982</v>
      </c>
      <c r="E21" s="983">
        <f>'C4-FinPerf RE'!F39</f>
        <v>67443964.909999996</v>
      </c>
      <c r="F21" s="983">
        <f>'C4-FinPerf RE'!G39</f>
        <v>186752684.79000002</v>
      </c>
      <c r="G21" s="984">
        <f>'C4-FinPerf RE'!H39</f>
        <v>219121492.08333325</v>
      </c>
      <c r="H21" s="983">
        <f t="shared" si="1"/>
        <v>-32368807.293333232</v>
      </c>
      <c r="I21" s="985">
        <f t="shared" si="2"/>
        <v>-0.14772082366536265</v>
      </c>
      <c r="J21" s="986">
        <f>'C4-FinPerf RE'!K39</f>
        <v>525891580.99999982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941737276.8393333</v>
      </c>
      <c r="D23" s="657">
        <f t="shared" si="5"/>
        <v>973171668.64127421</v>
      </c>
      <c r="E23" s="657">
        <f t="shared" si="5"/>
        <v>22734446.949999958</v>
      </c>
      <c r="F23" s="657">
        <f t="shared" si="5"/>
        <v>263785246.93999916</v>
      </c>
      <c r="G23" s="658">
        <f t="shared" si="5"/>
        <v>405488195.26719737</v>
      </c>
      <c r="H23" s="657">
        <f t="shared" si="1"/>
        <v>-141702948.32719821</v>
      </c>
      <c r="I23" s="592">
        <f t="shared" si="2"/>
        <v>-0.34946257371024753</v>
      </c>
      <c r="J23" s="659">
        <f>J20+J21+J22</f>
        <v>973171668.64127421</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941737276.8393333</v>
      </c>
      <c r="D25" s="637">
        <f t="shared" si="6"/>
        <v>973171668.64127421</v>
      </c>
      <c r="E25" s="637">
        <f t="shared" si="6"/>
        <v>22734446.949999958</v>
      </c>
      <c r="F25" s="637">
        <f t="shared" si="6"/>
        <v>263785246.93999916</v>
      </c>
      <c r="G25" s="667">
        <f t="shared" si="6"/>
        <v>405488195.26719737</v>
      </c>
      <c r="H25" s="637">
        <f t="shared" si="1"/>
        <v>-141702948.32719821</v>
      </c>
      <c r="I25" s="206">
        <f t="shared" si="2"/>
        <v>-0.34946257371024753</v>
      </c>
      <c r="J25" s="641">
        <f>J23+J24</f>
        <v>973171668.64127421</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621991581</v>
      </c>
      <c r="E28" s="662">
        <f>'C5-Capex'!F40</f>
        <v>64917006.569999993</v>
      </c>
      <c r="F28" s="662">
        <f>'C5-Capex'!G40</f>
        <v>180489659.47000003</v>
      </c>
      <c r="G28" s="663">
        <f>'C5-Capex'!H40</f>
        <v>259163158.75</v>
      </c>
      <c r="H28" s="662">
        <f t="shared" ref="H28:H33" si="7">F28-G28</f>
        <v>-78673499.279999971</v>
      </c>
      <c r="I28" s="382">
        <f t="shared" ref="I28:I33" si="8">IF(H28=0,"",H28/G28)</f>
        <v>-0.30356745017100151</v>
      </c>
      <c r="J28" s="664">
        <f>'C5-Capex'!K40</f>
        <v>621991581</v>
      </c>
    </row>
    <row r="29" spans="1:11" ht="12.75" customHeight="1" x14ac:dyDescent="0.25">
      <c r="A29" s="152" t="s">
        <v>499</v>
      </c>
      <c r="B29" s="648">
        <f>'C5-Capex'!C70</f>
        <v>0</v>
      </c>
      <c r="C29" s="649">
        <f>'C5-Capex'!D70</f>
        <v>525891580.99999988</v>
      </c>
      <c r="D29" s="408">
        <f>'C5-Capex'!E70</f>
        <v>525891580.99999988</v>
      </c>
      <c r="E29" s="408">
        <f>'C5-Capex'!F70</f>
        <v>60799182</v>
      </c>
      <c r="F29" s="408">
        <f>'C5-Capex'!G70</f>
        <v>170842801.28999999</v>
      </c>
      <c r="G29" s="650">
        <f>'C5-Capex'!H70</f>
        <v>219121492.08333325</v>
      </c>
      <c r="H29" s="408">
        <f t="shared" si="7"/>
        <v>-48278690.793333262</v>
      </c>
      <c r="I29" s="591">
        <f t="shared" si="8"/>
        <v>-0.22032841385989002</v>
      </c>
      <c r="J29" s="642">
        <f>'C5-Capex'!K70</f>
        <v>525891580.99999988</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96100000</v>
      </c>
      <c r="E32" s="662">
        <f>'C5-Capex'!F73</f>
        <v>4117824.5699999928</v>
      </c>
      <c r="F32" s="662">
        <f>'C5-Capex'!G73</f>
        <v>9646858.1800000519</v>
      </c>
      <c r="G32" s="663">
        <f>'C5-Capex'!H73</f>
        <v>40041666.666666664</v>
      </c>
      <c r="H32" s="662">
        <f t="shared" si="7"/>
        <v>-30394808.486666612</v>
      </c>
      <c r="I32" s="382">
        <f t="shared" si="8"/>
        <v>-0.75907950434963445</v>
      </c>
      <c r="J32" s="664">
        <f>'C5-Capex'!K73</f>
        <v>96100000</v>
      </c>
      <c r="K32" s="156"/>
    </row>
    <row r="33" spans="1:10" ht="12.75" customHeight="1" x14ac:dyDescent="0.25">
      <c r="A33" s="583" t="s">
        <v>137</v>
      </c>
      <c r="B33" s="668">
        <f t="shared" ref="B33:G33" si="9">+B29+B31+B32</f>
        <v>0</v>
      </c>
      <c r="C33" s="613">
        <f t="shared" si="9"/>
        <v>580891580.99999988</v>
      </c>
      <c r="D33" s="611">
        <f t="shared" si="9"/>
        <v>621991580.99999988</v>
      </c>
      <c r="E33" s="611">
        <f t="shared" si="9"/>
        <v>64917006.569999993</v>
      </c>
      <c r="F33" s="611">
        <f t="shared" si="9"/>
        <v>180489659.47000003</v>
      </c>
      <c r="G33" s="612">
        <f t="shared" si="9"/>
        <v>259163158.74999991</v>
      </c>
      <c r="H33" s="611">
        <f t="shared" si="7"/>
        <v>-78673499.279999882</v>
      </c>
      <c r="I33" s="594">
        <f t="shared" si="8"/>
        <v>-0.30356745017100123</v>
      </c>
      <c r="J33" s="614">
        <f>+J29+J31+J32</f>
        <v>621991580.99999988</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2873821177.5626497</v>
      </c>
      <c r="E36" s="408"/>
      <c r="F36" s="408">
        <f>'C6-FinPos'!F13</f>
        <v>3163801157.9799995</v>
      </c>
      <c r="G36" s="217"/>
      <c r="H36" s="217"/>
      <c r="I36" s="219"/>
      <c r="J36" s="642">
        <f>'C6-FinPos'!G13</f>
        <v>2873821177.5626497</v>
      </c>
    </row>
    <row r="37" spans="1:10" ht="12.75" customHeight="1" x14ac:dyDescent="0.25">
      <c r="A37" s="152" t="s">
        <v>631</v>
      </c>
      <c r="B37" s="648">
        <f>'C6-FinPos'!C25</f>
        <v>0</v>
      </c>
      <c r="C37" s="649">
        <f>'C6-FinPos'!D25</f>
        <v>8340425652.5764656</v>
      </c>
      <c r="D37" s="408">
        <f>'C6-FinPos'!E25</f>
        <v>8389025652.300705</v>
      </c>
      <c r="E37" s="408"/>
      <c r="F37" s="408">
        <f>'C6-FinPos'!F25</f>
        <v>7613538953.0100002</v>
      </c>
      <c r="G37" s="217"/>
      <c r="H37" s="217"/>
      <c r="I37" s="219"/>
      <c r="J37" s="642">
        <f>'C6-FinPos'!G25</f>
        <v>8389025652.300705</v>
      </c>
    </row>
    <row r="38" spans="1:10" ht="12.75" customHeight="1" x14ac:dyDescent="0.25">
      <c r="A38" s="152" t="s">
        <v>459</v>
      </c>
      <c r="B38" s="648">
        <f>'C6-FinPos'!C35</f>
        <v>0</v>
      </c>
      <c r="C38" s="649">
        <f>'C6-FinPos'!D35</f>
        <v>1441718351.4141357</v>
      </c>
      <c r="D38" s="408">
        <f>'C6-FinPos'!E35</f>
        <v>1345847464.4139848</v>
      </c>
      <c r="E38" s="408"/>
      <c r="F38" s="408">
        <f>'C6-FinPos'!F35</f>
        <v>1714024369.5700002</v>
      </c>
      <c r="G38" s="217"/>
      <c r="H38" s="217"/>
      <c r="I38" s="219"/>
      <c r="J38" s="642">
        <f>'C6-FinPos'!G35</f>
        <v>1345847464.4139848</v>
      </c>
    </row>
    <row r="39" spans="1:10" ht="12.75" customHeight="1" x14ac:dyDescent="0.25">
      <c r="A39" s="152" t="s">
        <v>458</v>
      </c>
      <c r="B39" s="648">
        <f>'C6-FinPos'!C40</f>
        <v>0</v>
      </c>
      <c r="C39" s="649">
        <f>'C6-FinPos'!D40</f>
        <v>1091864951.9305663</v>
      </c>
      <c r="D39" s="408">
        <f>'C6-FinPos'!E40</f>
        <v>1091864951.9305663</v>
      </c>
      <c r="E39" s="408"/>
      <c r="F39" s="408">
        <f>'C6-FinPos'!F40</f>
        <v>820090325.28999996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8825134413.5188026</v>
      </c>
      <c r="E40" s="408"/>
      <c r="F40" s="637">
        <f>'C6-FinPos'!F48</f>
        <v>8243225416.1300001</v>
      </c>
      <c r="G40" s="595"/>
      <c r="H40" s="595"/>
      <c r="I40" s="596"/>
      <c r="J40" s="641">
        <f>'C6-FinPos'!G48</f>
        <v>8825134413.5188026</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787419044.32572842</v>
      </c>
      <c r="E43" s="408">
        <f>'C7-CFlow'!F18</f>
        <v>0</v>
      </c>
      <c r="F43" s="408">
        <f>'C7-CFlow'!G18</f>
        <v>0</v>
      </c>
      <c r="G43" s="650">
        <f>'C7-CFlow'!H18</f>
        <v>328091268.46905327</v>
      </c>
      <c r="H43" s="408">
        <f>G43-F43</f>
        <v>328091268.46905327</v>
      </c>
      <c r="I43" s="207">
        <f>IF(H43=0,"",H43/G43)</f>
        <v>1</v>
      </c>
      <c r="J43" s="642">
        <f>'C7-CFlow'!K18</f>
        <v>787419044.32572842</v>
      </c>
    </row>
    <row r="44" spans="1:10" ht="12.75" customHeight="1" x14ac:dyDescent="0.25">
      <c r="A44" s="152" t="s">
        <v>649</v>
      </c>
      <c r="B44" s="648">
        <f>'C7-CFlow'!C28</f>
        <v>0</v>
      </c>
      <c r="C44" s="649">
        <f>'C7-CFlow'!D28</f>
        <v>-580891580.99999988</v>
      </c>
      <c r="D44" s="408">
        <f>'C7-CFlow'!E28</f>
        <v>-621991580.99999988</v>
      </c>
      <c r="E44" s="408">
        <f>'C7-CFlow'!F28</f>
        <v>0</v>
      </c>
      <c r="F44" s="408">
        <f>'C7-CFlow'!G28</f>
        <v>0</v>
      </c>
      <c r="G44" s="650">
        <f>'C7-CFlow'!H28</f>
        <v>-259163158.74999997</v>
      </c>
      <c r="H44" s="408">
        <f>G44-F44</f>
        <v>-259163158.74999997</v>
      </c>
      <c r="I44" s="207">
        <f>IF(H44=0,"",H44/G44)</f>
        <v>1</v>
      </c>
      <c r="J44" s="642">
        <f>'C7-CFlow'!K28</f>
        <v>-621991580.99999988</v>
      </c>
    </row>
    <row r="45" spans="1:10" ht="12.75" customHeight="1" x14ac:dyDescent="0.25">
      <c r="A45" s="152" t="s">
        <v>647</v>
      </c>
      <c r="B45" s="648">
        <f>'C7-CFlow'!C37</f>
        <v>0</v>
      </c>
      <c r="C45" s="649">
        <f>'C7-CFlow'!D37</f>
        <v>-79206000</v>
      </c>
      <c r="D45" s="408">
        <f>'C7-CFlow'!E37</f>
        <v>-79206000</v>
      </c>
      <c r="E45" s="408">
        <f>'C7-CFlow'!F37</f>
        <v>0</v>
      </c>
      <c r="F45" s="408">
        <f>'C7-CFlow'!G37</f>
        <v>0</v>
      </c>
      <c r="G45" s="650">
        <f>'C7-CFlow'!H37</f>
        <v>-33002500</v>
      </c>
      <c r="H45" s="408">
        <f>G45-F45</f>
        <v>-33002500</v>
      </c>
      <c r="I45" s="207">
        <f>IF(H45=0,"",H45/G45)</f>
        <v>1</v>
      </c>
      <c r="J45" s="642">
        <f>'C7-CFlow'!K37</f>
        <v>-79206000</v>
      </c>
    </row>
    <row r="46" spans="1:10" ht="12.75" customHeight="1" x14ac:dyDescent="0.25">
      <c r="A46" s="153" t="s">
        <v>54</v>
      </c>
      <c r="B46" s="665">
        <f>'C7-CFlow'!C41</f>
        <v>0</v>
      </c>
      <c r="C46" s="666">
        <f>'C7-CFlow'!D41</f>
        <v>382435849.43256199</v>
      </c>
      <c r="D46" s="637">
        <f>'C7-CFlow'!E41</f>
        <v>603830603.32572854</v>
      </c>
      <c r="E46" s="637">
        <f>'C7-CFlow'!F41</f>
        <v>0</v>
      </c>
      <c r="F46" s="637">
        <f>'C7-CFlow'!G41</f>
        <v>470048249</v>
      </c>
      <c r="G46" s="667">
        <f>'C7-CFlow'!H41</f>
        <v>553534749.71905327</v>
      </c>
      <c r="H46" s="637">
        <f>G46-F46</f>
        <v>83486500.719053268</v>
      </c>
      <c r="I46" s="206">
        <f>IF(H46=0,"",H46/G46)</f>
        <v>0.15082431728347112</v>
      </c>
      <c r="J46" s="641">
        <f>'C7-CFlow'!K41</f>
        <v>556269712.32572854</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533898793.88999999</v>
      </c>
      <c r="C50" s="649">
        <f>'SC3'!D14</f>
        <v>139733389.99000001</v>
      </c>
      <c r="D50" s="408">
        <f>'SC3'!E14</f>
        <v>114633260.59999998</v>
      </c>
      <c r="E50" s="408">
        <f>'SC3'!F14</f>
        <v>130309673.16999997</v>
      </c>
      <c r="F50" s="408">
        <f>'SC3'!G14</f>
        <v>101513987.42</v>
      </c>
      <c r="G50" s="650">
        <f>'SC3'!H14</f>
        <v>89202953.219999999</v>
      </c>
      <c r="H50" s="408">
        <f>'SC3'!I14</f>
        <v>397997089.10999995</v>
      </c>
      <c r="I50" s="650">
        <f>'SC3'!J14</f>
        <v>3251963442.4299994</v>
      </c>
      <c r="J50" s="642">
        <f>'SC3'!K14</f>
        <v>4759252589.8299999</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1091155383.46</v>
      </c>
      <c r="C52" s="649">
        <f>'SC4'!D15</f>
        <v>-6115452.7900000066</v>
      </c>
      <c r="D52" s="408">
        <f>'SC4'!E15</f>
        <v>26245574.739999995</v>
      </c>
      <c r="E52" s="408">
        <f>'SC4'!F15</f>
        <v>208561355.24000001</v>
      </c>
      <c r="F52" s="408">
        <f>'SC4'!G15</f>
        <v>-15819343.360000001</v>
      </c>
      <c r="G52" s="650">
        <f>'SC4'!H15</f>
        <v>34432812.240000002</v>
      </c>
      <c r="H52" s="408">
        <f>'SC4'!I15</f>
        <v>0</v>
      </c>
      <c r="I52" s="650">
        <f>'SC4'!J15</f>
        <v>14872464.060000001</v>
      </c>
      <c r="J52" s="642">
        <f>'SC4'!K15</f>
        <v>1353332793.5899999</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5"/>
      <c r="B55" s="1035"/>
      <c r="C55" s="1035"/>
      <c r="D55" s="1035"/>
      <c r="E55" s="1035"/>
      <c r="F55" s="1035"/>
      <c r="G55" s="1035"/>
      <c r="H55" s="1035"/>
      <c r="I55" s="1035"/>
      <c r="J55" s="1035"/>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5" t="str">
        <f>muni&amp; " - "&amp;S71A&amp; " - "&amp;date</f>
        <v>KZN225 Msunduzi - Table C2 Monthly Budget Statement - Financial Performance (functional classification) - M05 November</v>
      </c>
      <c r="B1" s="1045"/>
      <c r="C1" s="1045"/>
      <c r="D1" s="1045"/>
      <c r="E1" s="1045"/>
      <c r="F1" s="1045"/>
      <c r="G1" s="1045"/>
      <c r="H1" s="1045"/>
      <c r="I1" s="1045"/>
      <c r="J1" s="1045"/>
      <c r="K1" s="1045"/>
    </row>
    <row r="2" spans="1:18" x14ac:dyDescent="0.25">
      <c r="A2" s="1043" t="str">
        <f>desc</f>
        <v>Description</v>
      </c>
      <c r="B2" s="1041" t="str">
        <f>head27</f>
        <v>Ref</v>
      </c>
      <c r="C2" s="24" t="str">
        <f>Head1</f>
        <v>2019/20</v>
      </c>
      <c r="D2" s="231" t="str">
        <f>Head2</f>
        <v>Budget Year 2020/21</v>
      </c>
      <c r="E2" s="229"/>
      <c r="F2" s="229"/>
      <c r="G2" s="229"/>
      <c r="H2" s="229"/>
      <c r="I2" s="229"/>
      <c r="J2" s="229"/>
      <c r="K2" s="230"/>
    </row>
    <row r="3" spans="1:18" ht="25.5" x14ac:dyDescent="0.25">
      <c r="A3" s="1044"/>
      <c r="B3" s="1042"/>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101878395.46000001</v>
      </c>
      <c r="G6" s="637">
        <f t="shared" si="0"/>
        <v>723558801.08999991</v>
      </c>
      <c r="H6" s="637">
        <f t="shared" si="0"/>
        <v>692223542.63229835</v>
      </c>
      <c r="I6" s="47">
        <f t="shared" ref="I6:I13" si="1">G6-H6</f>
        <v>31335258.457701564</v>
      </c>
      <c r="J6" s="200">
        <f>IF(I6=0,"",I6/H6)</f>
        <v>4.5267542242992613E-2</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0</v>
      </c>
      <c r="G7" s="408">
        <f>'C2C'!G7</f>
        <v>0</v>
      </c>
      <c r="H7" s="408">
        <f>'C2C'!H7</f>
        <v>1853137.5055833333</v>
      </c>
      <c r="I7" s="47">
        <f t="shared" si="1"/>
        <v>-1853137.5055833333</v>
      </c>
      <c r="J7" s="200">
        <f t="shared" ref="J7:J26" si="2">IF(I7=0,"",I7/H7)</f>
        <v>-1</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101878395.46000001</v>
      </c>
      <c r="G8" s="672">
        <f>'C2C'!G10</f>
        <v>723558801.08999991</v>
      </c>
      <c r="H8" s="672">
        <f>'C2C'!H10</f>
        <v>690370405.12671506</v>
      </c>
      <c r="I8" s="47">
        <f t="shared" si="1"/>
        <v>33188395.96328485</v>
      </c>
      <c r="J8" s="200">
        <f t="shared" si="2"/>
        <v>4.8073317912857572E-2</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369251054.47721577</v>
      </c>
      <c r="F10" s="637">
        <f t="shared" si="3"/>
        <v>17532556.039999999</v>
      </c>
      <c r="G10" s="637">
        <f t="shared" si="3"/>
        <v>56064108.269999996</v>
      </c>
      <c r="H10" s="637">
        <f t="shared" si="3"/>
        <v>153854606.03217325</v>
      </c>
      <c r="I10" s="47">
        <f t="shared" si="1"/>
        <v>-97790497.76217325</v>
      </c>
      <c r="J10" s="200">
        <f t="shared" si="2"/>
        <v>-0.63560331591063202</v>
      </c>
      <c r="K10" s="641">
        <f>SUM(K11:K15)</f>
        <v>369251054.47721577</v>
      </c>
      <c r="L10" s="100"/>
      <c r="Q10" s="69"/>
      <c r="R10" s="70"/>
    </row>
    <row r="11" spans="1:18" ht="12.75" customHeight="1" x14ac:dyDescent="0.25">
      <c r="A11" s="416" t="s">
        <v>110</v>
      </c>
      <c r="B11" s="415"/>
      <c r="C11" s="642">
        <f>'C2C'!C27</f>
        <v>0</v>
      </c>
      <c r="D11" s="670">
        <f>'C2C'!D27</f>
        <v>26242986.682700001</v>
      </c>
      <c r="E11" s="408">
        <f>'C2C'!E27</f>
        <v>26242986.682700001</v>
      </c>
      <c r="F11" s="408">
        <f>'C2C'!F27</f>
        <v>1898041.7799999998</v>
      </c>
      <c r="G11" s="408">
        <f>'C2C'!G27</f>
        <v>11756518.159999998</v>
      </c>
      <c r="H11" s="408">
        <f>'C2C'!H27</f>
        <v>10934577.784458332</v>
      </c>
      <c r="I11" s="47">
        <f t="shared" si="1"/>
        <v>821940.37554166652</v>
      </c>
      <c r="J11" s="200">
        <f t="shared" si="2"/>
        <v>7.5168917515033545E-2</v>
      </c>
      <c r="K11" s="642">
        <f>'C2C'!K27</f>
        <v>26242986.682700001</v>
      </c>
      <c r="L11" s="100"/>
      <c r="Q11" s="69"/>
      <c r="R11" s="70"/>
    </row>
    <row r="12" spans="1:18" ht="12.75" customHeight="1" x14ac:dyDescent="0.25">
      <c r="A12" s="416" t="s">
        <v>111</v>
      </c>
      <c r="B12" s="415"/>
      <c r="C12" s="642">
        <f>'C2C'!C49</f>
        <v>0</v>
      </c>
      <c r="D12" s="670">
        <f>'C2C'!D49</f>
        <v>11002054.78726843</v>
      </c>
      <c r="E12" s="408">
        <f>'C2C'!E49</f>
        <v>11002054.78726843</v>
      </c>
      <c r="F12" s="408">
        <f>'C2C'!F49</f>
        <v>21096.739999999998</v>
      </c>
      <c r="G12" s="408">
        <f>'C2C'!G49</f>
        <v>36407.079999999929</v>
      </c>
      <c r="H12" s="408">
        <f>'C2C'!H49</f>
        <v>4584189.4946951792</v>
      </c>
      <c r="I12" s="47">
        <f t="shared" si="1"/>
        <v>-4547782.4146951791</v>
      </c>
      <c r="J12" s="200">
        <f t="shared" si="2"/>
        <v>-0.99205812062478427</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435805.29000000004</v>
      </c>
      <c r="G13" s="408">
        <f>'C2C'!G55</f>
        <v>824216.36</v>
      </c>
      <c r="H13" s="408">
        <f>'C2C'!H55</f>
        <v>1570306.4432916667</v>
      </c>
      <c r="I13" s="47">
        <f t="shared" si="1"/>
        <v>-746090.0832916667</v>
      </c>
      <c r="J13" s="200">
        <f t="shared" si="2"/>
        <v>-0.47512387564793868</v>
      </c>
      <c r="K13" s="642">
        <f>'C2C'!K55</f>
        <v>3768735.4638999999</v>
      </c>
      <c r="L13" s="100"/>
      <c r="Q13" s="69"/>
      <c r="R13" s="70"/>
    </row>
    <row r="14" spans="1:18" ht="12.75" customHeight="1" x14ac:dyDescent="0.25">
      <c r="A14" s="416" t="s">
        <v>711</v>
      </c>
      <c r="B14" s="415"/>
      <c r="C14" s="642">
        <f>'C2C'!C64</f>
        <v>0</v>
      </c>
      <c r="D14" s="670">
        <f>'C2C'!D64</f>
        <v>328237277.54334736</v>
      </c>
      <c r="E14" s="408">
        <f>'C2C'!E64</f>
        <v>328237277.54334736</v>
      </c>
      <c r="F14" s="408">
        <f>'C2C'!F64</f>
        <v>15177612.229999999</v>
      </c>
      <c r="G14" s="408">
        <f>'C2C'!G64</f>
        <v>43446966.670000002</v>
      </c>
      <c r="H14" s="408">
        <f>'C2C'!H64</f>
        <v>136765532.30972806</v>
      </c>
      <c r="I14" s="47">
        <f t="shared" ref="I14:I19" si="4">G14-H14</f>
        <v>-93318565.639728054</v>
      </c>
      <c r="J14" s="200">
        <f t="shared" ref="J14:J19" si="5">IF(I14=0,"",I14/H14)</f>
        <v>-0.68232517406792825</v>
      </c>
      <c r="K14" s="642">
        <f>'C2C'!K64</f>
        <v>328237277.54334736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106923434.37381519</v>
      </c>
      <c r="F16" s="637">
        <f t="shared" si="6"/>
        <v>26717506.789999999</v>
      </c>
      <c r="G16" s="637">
        <f t="shared" si="6"/>
        <v>82201398.769999996</v>
      </c>
      <c r="H16" s="637">
        <f t="shared" si="6"/>
        <v>44551430.989089668</v>
      </c>
      <c r="I16" s="47">
        <f t="shared" si="4"/>
        <v>37649967.780910328</v>
      </c>
      <c r="J16" s="200">
        <f t="shared" si="5"/>
        <v>0.84508997679851272</v>
      </c>
      <c r="K16" s="641">
        <f>SUM(K17:K19)</f>
        <v>106923434.37381519</v>
      </c>
      <c r="L16" s="100"/>
      <c r="Q16" s="69"/>
      <c r="R16" s="70"/>
    </row>
    <row r="17" spans="1:18" ht="12.75" customHeight="1" x14ac:dyDescent="0.25">
      <c r="A17" s="416" t="s">
        <v>114</v>
      </c>
      <c r="B17" s="415"/>
      <c r="C17" s="642">
        <f>'C2C'!C76</f>
        <v>0</v>
      </c>
      <c r="D17" s="670">
        <f>'C2C'!D76</f>
        <v>41022287.158399999</v>
      </c>
      <c r="E17" s="408">
        <f>'C2C'!E76</f>
        <v>41022287.158399999</v>
      </c>
      <c r="F17" s="408">
        <f>'C2C'!F76</f>
        <v>228095.3</v>
      </c>
      <c r="G17" s="408">
        <f>'C2C'!G76</f>
        <v>-254940.69999999995</v>
      </c>
      <c r="H17" s="408">
        <f>'C2C'!H76</f>
        <v>17092619.649333332</v>
      </c>
      <c r="I17" s="47">
        <f t="shared" si="4"/>
        <v>-17347560.349333331</v>
      </c>
      <c r="J17" s="200">
        <f t="shared" si="5"/>
        <v>-1.0149152502793768</v>
      </c>
      <c r="K17" s="642">
        <f>'C2C'!K76</f>
        <v>41022287.158399999</v>
      </c>
      <c r="L17" s="100"/>
      <c r="Q17" s="69"/>
      <c r="R17" s="70"/>
    </row>
    <row r="18" spans="1:18" ht="12.75" customHeight="1" x14ac:dyDescent="0.25">
      <c r="A18" s="416" t="s">
        <v>115</v>
      </c>
      <c r="B18" s="415"/>
      <c r="C18" s="642">
        <f>'C2C'!C87</f>
        <v>0</v>
      </c>
      <c r="D18" s="670">
        <f>'C2C'!D87</f>
        <v>65792799.755315199</v>
      </c>
      <c r="E18" s="408">
        <f>'C2C'!E87</f>
        <v>65792799.755315199</v>
      </c>
      <c r="F18" s="408">
        <f>'C2C'!F87</f>
        <v>26489411.489999998</v>
      </c>
      <c r="G18" s="408">
        <f>'C2C'!G87</f>
        <v>82441089.469999999</v>
      </c>
      <c r="H18" s="408">
        <f>'C2C'!H87</f>
        <v>27413666.564714666</v>
      </c>
      <c r="I18" s="47">
        <f t="shared" si="4"/>
        <v>55027422.905285329</v>
      </c>
      <c r="J18" s="200">
        <f t="shared" si="5"/>
        <v>2.0072989060176845</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0</v>
      </c>
      <c r="G19" s="408">
        <f>'C2C'!G92</f>
        <v>15250</v>
      </c>
      <c r="H19" s="408">
        <f>'C2C'!H92</f>
        <v>45144.77504166666</v>
      </c>
      <c r="I19" s="47">
        <f t="shared" si="4"/>
        <v>-29894.77504166666</v>
      </c>
      <c r="J19" s="200">
        <f t="shared" si="5"/>
        <v>-0.6621978958600433</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312373507.69</v>
      </c>
      <c r="G20" s="637">
        <f t="shared" si="7"/>
        <v>1697649962.1200001</v>
      </c>
      <c r="H20" s="637">
        <f t="shared" si="7"/>
        <v>1804824144.5906327</v>
      </c>
      <c r="I20" s="47">
        <f t="shared" si="7"/>
        <v>-107174182.47063276</v>
      </c>
      <c r="J20" s="200">
        <f t="shared" si="2"/>
        <v>-5.9382063782697142E-2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180826446.78</v>
      </c>
      <c r="G21" s="408">
        <f>'C2C'!G100</f>
        <v>1024047706.3800001</v>
      </c>
      <c r="H21" s="408">
        <f>'C2C'!H100</f>
        <v>1106251170.3836193</v>
      </c>
      <c r="I21" s="47">
        <f>G21-H21</f>
        <v>-82203464.003619194</v>
      </c>
      <c r="J21" s="200">
        <f t="shared" si="2"/>
        <v>-7.4308137432399876E-2</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87925887.370000005</v>
      </c>
      <c r="G22" s="408">
        <f>'C2C'!G104</f>
        <v>487645665.33999997</v>
      </c>
      <c r="H22" s="408">
        <f>'C2C'!H104</f>
        <v>522155895.83382159</v>
      </c>
      <c r="I22" s="47">
        <f>G22-H22</f>
        <v>-34510230.493821621</v>
      </c>
      <c r="J22" s="200">
        <f t="shared" si="2"/>
        <v>-6.6091814282232389E-2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27552769.789999999</v>
      </c>
      <c r="G23" s="672">
        <f>'C2C'!G108</f>
        <v>119490918.00999999</v>
      </c>
      <c r="H23" s="672">
        <f>'C2C'!H108</f>
        <v>72309258.292426363</v>
      </c>
      <c r="I23" s="47">
        <f>G23-H23</f>
        <v>47181659.717573628</v>
      </c>
      <c r="J23" s="200">
        <f t="shared" si="2"/>
        <v>0.65249818393608683</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16068403.75</v>
      </c>
      <c r="G24" s="408">
        <f>'C2C'!G113</f>
        <v>66465672.390000001</v>
      </c>
      <c r="H24" s="408">
        <f>'C2C'!H113</f>
        <v>104107820.08076558</v>
      </c>
      <c r="I24" s="47">
        <f>G24-H24</f>
        <v>-37642147.690765575</v>
      </c>
      <c r="J24" s="200">
        <f t="shared" si="2"/>
        <v>-0.36156887793408082</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3549459.99</v>
      </c>
      <c r="G25" s="637">
        <f>'C2C'!G118</f>
        <v>11941777.100000001</v>
      </c>
      <c r="H25" s="637">
        <f>'C2C'!H118</f>
        <v>26504541.952500004</v>
      </c>
      <c r="I25" s="102">
        <f>G25-H25</f>
        <v>-14562764.852500003</v>
      </c>
      <c r="J25" s="713">
        <f t="shared" si="2"/>
        <v>-0.54944412465601544</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6532699838.8720646</v>
      </c>
      <c r="F26" s="545">
        <f t="shared" si="8"/>
        <v>462051425.97000003</v>
      </c>
      <c r="G26" s="545">
        <f t="shared" si="8"/>
        <v>2571416047.3499999</v>
      </c>
      <c r="H26" s="545">
        <f t="shared" si="8"/>
        <v>2721958266.1966939</v>
      </c>
      <c r="I26" s="545">
        <f t="shared" si="8"/>
        <v>-150542218.84669411</v>
      </c>
      <c r="J26" s="599">
        <f t="shared" si="2"/>
        <v>-5.5306585966522548E-2</v>
      </c>
      <c r="K26" s="597">
        <f>K6+K10+K16+K20+K25</f>
        <v>6532699838.8720646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1360778764.0330372</v>
      </c>
      <c r="F29" s="637">
        <f t="shared" si="9"/>
        <v>71565754.769999996</v>
      </c>
      <c r="G29" s="637">
        <f t="shared" si="9"/>
        <v>359369600.5</v>
      </c>
      <c r="H29" s="637">
        <f t="shared" si="9"/>
        <v>566991151.68043208</v>
      </c>
      <c r="I29" s="47">
        <f t="shared" ref="I29:I48" si="10">G29-H29</f>
        <v>-207621551.18043208</v>
      </c>
      <c r="J29" s="200">
        <f>IF(I29=0,"",I29/H29)</f>
        <v>-0.36618128971693703</v>
      </c>
      <c r="K29" s="641">
        <f>SUM(K30:K32)</f>
        <v>1360778764.0330372</v>
      </c>
      <c r="L29" s="100"/>
      <c r="Q29" s="69"/>
    </row>
    <row r="30" spans="1:18" ht="12.75" customHeight="1" x14ac:dyDescent="0.25">
      <c r="A30" s="416" t="s">
        <v>108</v>
      </c>
      <c r="B30" s="428"/>
      <c r="C30" s="642">
        <f>'C2C'!C129</f>
        <v>0</v>
      </c>
      <c r="D30" s="670">
        <f>'C2C'!D129</f>
        <v>137732466.40184778</v>
      </c>
      <c r="E30" s="408">
        <f>'C2C'!E129</f>
        <v>143611790.7278536</v>
      </c>
      <c r="F30" s="408">
        <f>'C2C'!F129</f>
        <v>8113363.8599999994</v>
      </c>
      <c r="G30" s="408">
        <f>'C2C'!G129</f>
        <v>43353818.210000016</v>
      </c>
      <c r="H30" s="408">
        <f>'C2C'!H129</f>
        <v>59838246.136605665</v>
      </c>
      <c r="I30" s="47">
        <f t="shared" si="10"/>
        <v>-16484427.926605649</v>
      </c>
      <c r="J30" s="200">
        <f t="shared" ref="J30:J49" si="11">IF(I30=0,"",I30/H30)</f>
        <v>-0.27548313981283962</v>
      </c>
      <c r="K30" s="642">
        <f>'C2C'!K129</f>
        <v>143611790.7278536</v>
      </c>
      <c r="L30" s="100"/>
      <c r="Q30" s="69"/>
    </row>
    <row r="31" spans="1:18" ht="12.75" customHeight="1" x14ac:dyDescent="0.25">
      <c r="A31" s="416" t="s">
        <v>1123</v>
      </c>
      <c r="B31" s="428"/>
      <c r="C31" s="643">
        <f>'C2C'!C132</f>
        <v>0</v>
      </c>
      <c r="D31" s="671">
        <f>'C2C'!D132</f>
        <v>1194545745.0547059</v>
      </c>
      <c r="E31" s="672">
        <f>'C2C'!E132</f>
        <v>1195180440.5200856</v>
      </c>
      <c r="F31" s="672">
        <f>'C2C'!F132</f>
        <v>62350365.149999991</v>
      </c>
      <c r="G31" s="672">
        <f>'C2C'!G132</f>
        <v>310683675.70999998</v>
      </c>
      <c r="H31" s="672">
        <f>'C2C'!H132</f>
        <v>497991850.21670228</v>
      </c>
      <c r="I31" s="47">
        <f t="shared" si="10"/>
        <v>-187308174.5067023</v>
      </c>
      <c r="J31" s="200">
        <f t="shared" si="11"/>
        <v>-0.37612698767097236</v>
      </c>
      <c r="K31" s="673">
        <f>'C2C'!K132</f>
        <v>1195180440.5200856</v>
      </c>
      <c r="L31" s="100"/>
      <c r="Q31" s="69"/>
    </row>
    <row r="32" spans="1:18" ht="12.75" customHeight="1" x14ac:dyDescent="0.25">
      <c r="A32" s="416" t="s">
        <v>1134</v>
      </c>
      <c r="B32" s="428"/>
      <c r="C32" s="642">
        <f>'C2C'!C146</f>
        <v>0</v>
      </c>
      <c r="D32" s="670">
        <f>'C2C'!D146</f>
        <v>21986532.785097998</v>
      </c>
      <c r="E32" s="408">
        <f>'C2C'!E146</f>
        <v>21986532.785097998</v>
      </c>
      <c r="F32" s="408">
        <f>'C2C'!F146</f>
        <v>1102025.7600000002</v>
      </c>
      <c r="G32" s="408">
        <f>'C2C'!G146</f>
        <v>5332106.5800000019</v>
      </c>
      <c r="H32" s="408">
        <f>'C2C'!H146</f>
        <v>9161055.3271241654</v>
      </c>
      <c r="I32" s="47">
        <f t="shared" si="10"/>
        <v>-3828948.7471241634</v>
      </c>
      <c r="J32" s="200">
        <f t="shared" si="11"/>
        <v>-0.4179593518868252</v>
      </c>
      <c r="K32" s="642">
        <f>'C2C'!K146</f>
        <v>21986532.785097998</v>
      </c>
      <c r="L32" s="100"/>
      <c r="Q32" s="69"/>
    </row>
    <row r="33" spans="1:17" ht="12.75" customHeight="1" x14ac:dyDescent="0.25">
      <c r="A33" s="414" t="s">
        <v>109</v>
      </c>
      <c r="B33" s="428"/>
      <c r="C33" s="641">
        <f t="shared" ref="C33:H33" si="12">SUM(C34:C38)</f>
        <v>0</v>
      </c>
      <c r="D33" s="669">
        <f t="shared" si="12"/>
        <v>425554819.64787257</v>
      </c>
      <c r="E33" s="637">
        <f t="shared" si="12"/>
        <v>473667727.71673155</v>
      </c>
      <c r="F33" s="637">
        <f t="shared" si="12"/>
        <v>44507986.320000008</v>
      </c>
      <c r="G33" s="637">
        <f t="shared" si="12"/>
        <v>236479439.49000004</v>
      </c>
      <c r="H33" s="637">
        <f t="shared" si="12"/>
        <v>197361553.21530482</v>
      </c>
      <c r="I33" s="47">
        <f t="shared" si="10"/>
        <v>39117886.274695218</v>
      </c>
      <c r="J33" s="200">
        <f t="shared" si="11"/>
        <v>0.19820418737797882</v>
      </c>
      <c r="K33" s="641">
        <f>SUM(K34:K38)</f>
        <v>473667727.71673155</v>
      </c>
      <c r="L33" s="100"/>
      <c r="Q33" s="69"/>
    </row>
    <row r="34" spans="1:17" ht="12.75" customHeight="1" x14ac:dyDescent="0.25">
      <c r="A34" s="416" t="s">
        <v>110</v>
      </c>
      <c r="B34" s="428"/>
      <c r="C34" s="642">
        <f>'C2C'!C149</f>
        <v>0</v>
      </c>
      <c r="D34" s="670">
        <f>'C2C'!D149</f>
        <v>128373725.79885694</v>
      </c>
      <c r="E34" s="408">
        <f>'C2C'!E149</f>
        <v>128373725.79885694</v>
      </c>
      <c r="F34" s="408">
        <f>'C2C'!F149</f>
        <v>11378432.360000001</v>
      </c>
      <c r="G34" s="408">
        <f>'C2C'!G149</f>
        <v>71370489.390000001</v>
      </c>
      <c r="H34" s="408">
        <f>'C2C'!H149</f>
        <v>53489052.416190393</v>
      </c>
      <c r="I34" s="47">
        <f t="shared" si="10"/>
        <v>17881436.973809607</v>
      </c>
      <c r="J34" s="200">
        <f t="shared" si="11"/>
        <v>0.33430087403076042</v>
      </c>
      <c r="K34" s="642">
        <f>'C2C'!K149</f>
        <v>128373725.79885694</v>
      </c>
      <c r="L34" s="100"/>
      <c r="Q34" s="69"/>
    </row>
    <row r="35" spans="1:17" ht="12.75" customHeight="1" x14ac:dyDescent="0.25">
      <c r="A35" s="416" t="s">
        <v>111</v>
      </c>
      <c r="B35" s="428"/>
      <c r="C35" s="642">
        <f>'C2C'!C171</f>
        <v>0</v>
      </c>
      <c r="D35" s="670">
        <f>'C2C'!D171</f>
        <v>114418472.68896006</v>
      </c>
      <c r="E35" s="408">
        <f>'C2C'!E171</f>
        <v>114418472.68896006</v>
      </c>
      <c r="F35" s="408">
        <f>'C2C'!F171</f>
        <v>10419409.650000002</v>
      </c>
      <c r="G35" s="408">
        <f>'C2C'!G171</f>
        <v>51239149.390000015</v>
      </c>
      <c r="H35" s="408">
        <f>'C2C'!H171</f>
        <v>47674363.620400026</v>
      </c>
      <c r="I35" s="47">
        <f t="shared" si="10"/>
        <v>3564785.7695999891</v>
      </c>
      <c r="J35" s="200">
        <f t="shared" si="11"/>
        <v>7.4773641405768129E-2</v>
      </c>
      <c r="K35" s="642">
        <f>'C2C'!K171</f>
        <v>114418472.68896006</v>
      </c>
      <c r="L35" s="100"/>
      <c r="Q35" s="69"/>
    </row>
    <row r="36" spans="1:17" ht="12.75" customHeight="1" x14ac:dyDescent="0.25">
      <c r="A36" s="416" t="s">
        <v>112</v>
      </c>
      <c r="B36" s="426"/>
      <c r="C36" s="642">
        <f>'C2C'!C177</f>
        <v>0</v>
      </c>
      <c r="D36" s="670">
        <f>'C2C'!D177</f>
        <v>92358887.770319864</v>
      </c>
      <c r="E36" s="408">
        <f>'C2C'!E177</f>
        <v>140471795.83917889</v>
      </c>
      <c r="F36" s="408">
        <f>'C2C'!F177</f>
        <v>16916268.299999997</v>
      </c>
      <c r="G36" s="408">
        <f>'C2C'!G177</f>
        <v>81345682.080000013</v>
      </c>
      <c r="H36" s="408">
        <f>'C2C'!H177</f>
        <v>58529914.932991207</v>
      </c>
      <c r="I36" s="47">
        <f t="shared" si="10"/>
        <v>22815767.147008806</v>
      </c>
      <c r="J36" s="200">
        <f t="shared" si="11"/>
        <v>0.38981377596618338</v>
      </c>
      <c r="K36" s="642">
        <f>'C2C'!K177</f>
        <v>140471795.83917889</v>
      </c>
      <c r="L36" s="100"/>
      <c r="Q36" s="70"/>
    </row>
    <row r="37" spans="1:17" ht="12.75" customHeight="1" x14ac:dyDescent="0.25">
      <c r="A37" s="416" t="s">
        <v>711</v>
      </c>
      <c r="B37" s="426"/>
      <c r="C37" s="642">
        <f>'C2C'!C186</f>
        <v>0</v>
      </c>
      <c r="D37" s="670">
        <f>'C2C'!D186</f>
        <v>90129848.361797929</v>
      </c>
      <c r="E37" s="408">
        <f>'C2C'!E186</f>
        <v>90129848.361797929</v>
      </c>
      <c r="F37" s="408">
        <f>'C2C'!F186</f>
        <v>5030108.1200000029</v>
      </c>
      <c r="G37" s="408">
        <f>'C2C'!G186</f>
        <v>28288208.049999997</v>
      </c>
      <c r="H37" s="408">
        <f>'C2C'!H186</f>
        <v>37554103.484082468</v>
      </c>
      <c r="I37" s="47">
        <f t="shared" si="10"/>
        <v>-9265895.4340824708</v>
      </c>
      <c r="J37" s="200">
        <f t="shared" si="11"/>
        <v>-0.24673456625079271</v>
      </c>
      <c r="K37" s="642">
        <f>'C2C'!K186</f>
        <v>90129848.361797929</v>
      </c>
      <c r="L37" s="100"/>
      <c r="Q37" s="70"/>
    </row>
    <row r="38" spans="1:17" ht="12.75" customHeight="1" x14ac:dyDescent="0.25">
      <c r="A38" s="416" t="s">
        <v>610</v>
      </c>
      <c r="B38" s="426"/>
      <c r="C38" s="643">
        <f>'C2C'!C189</f>
        <v>0</v>
      </c>
      <c r="D38" s="671">
        <f>'C2C'!D189</f>
        <v>273885.02793777513</v>
      </c>
      <c r="E38" s="672">
        <f>'C2C'!E189</f>
        <v>273885.02793777513</v>
      </c>
      <c r="F38" s="672">
        <f>'C2C'!F189</f>
        <v>763767.8899999999</v>
      </c>
      <c r="G38" s="672">
        <f>'C2C'!G189</f>
        <v>4235910.58</v>
      </c>
      <c r="H38" s="672">
        <f>'C2C'!H189</f>
        <v>114118.76164073963</v>
      </c>
      <c r="I38" s="47">
        <f t="shared" si="10"/>
        <v>4121791.8183592604</v>
      </c>
      <c r="J38" s="200">
        <f t="shared" si="11"/>
        <v>36.118441517400839</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290734151.92154366</v>
      </c>
      <c r="F39" s="637">
        <f t="shared" si="13"/>
        <v>25927626.219999999</v>
      </c>
      <c r="G39" s="637">
        <f t="shared" si="13"/>
        <v>135791327.76000005</v>
      </c>
      <c r="H39" s="637">
        <f t="shared" si="13"/>
        <v>121139229.96730983</v>
      </c>
      <c r="I39" s="47">
        <f t="shared" si="10"/>
        <v>14652097.792690217</v>
      </c>
      <c r="J39" s="200">
        <f t="shared" si="11"/>
        <v>0.1209525419357889</v>
      </c>
      <c r="K39" s="641">
        <f>SUM(K40:K42)</f>
        <v>290734151.92154366</v>
      </c>
      <c r="L39" s="100"/>
      <c r="Q39" s="70"/>
    </row>
    <row r="40" spans="1:17" ht="12.75" customHeight="1" x14ac:dyDescent="0.25">
      <c r="A40" s="416" t="s">
        <v>114</v>
      </c>
      <c r="B40" s="426"/>
      <c r="C40" s="642">
        <f>'C2C'!C198</f>
        <v>0</v>
      </c>
      <c r="D40" s="670">
        <f>'C2C'!D198</f>
        <v>92239503.875528902</v>
      </c>
      <c r="E40" s="408">
        <f>'C2C'!E198</f>
        <v>92239503.875528902</v>
      </c>
      <c r="F40" s="408">
        <f>'C2C'!F198</f>
        <v>4992922.0900000017</v>
      </c>
      <c r="G40" s="408">
        <f>'C2C'!G198</f>
        <v>27261876.820000008</v>
      </c>
      <c r="H40" s="408">
        <f>'C2C'!H198</f>
        <v>38433126.614803709</v>
      </c>
      <c r="I40" s="47">
        <f t="shared" si="10"/>
        <v>-11171249.794803701</v>
      </c>
      <c r="J40" s="200">
        <f t="shared" si="11"/>
        <v>-0.29066721286476727</v>
      </c>
      <c r="K40" s="642">
        <f>'C2C'!K198</f>
        <v>92239503.875528902</v>
      </c>
      <c r="L40" s="100"/>
      <c r="Q40" s="70"/>
    </row>
    <row r="41" spans="1:17" ht="12.75" customHeight="1" x14ac:dyDescent="0.25">
      <c r="A41" s="416" t="s">
        <v>115</v>
      </c>
      <c r="B41" s="426"/>
      <c r="C41" s="642">
        <f>'C2C'!C209</f>
        <v>0</v>
      </c>
      <c r="D41" s="670">
        <f>'C2C'!D209</f>
        <v>171068986.74871668</v>
      </c>
      <c r="E41" s="408">
        <f>'C2C'!E209</f>
        <v>173629823.08681485</v>
      </c>
      <c r="F41" s="408">
        <f>'C2C'!F209</f>
        <v>19312425.029999994</v>
      </c>
      <c r="G41" s="408">
        <f>'C2C'!G209</f>
        <v>99719622.00000003</v>
      </c>
      <c r="H41" s="408">
        <f>'C2C'!H209</f>
        <v>72345759.61950618</v>
      </c>
      <c r="I41" s="47">
        <f t="shared" si="10"/>
        <v>27373862.38049385</v>
      </c>
      <c r="J41" s="200">
        <f t="shared" si="11"/>
        <v>0.37837549186660541</v>
      </c>
      <c r="K41" s="642">
        <f>'C2C'!K209</f>
        <v>173629823.08681485</v>
      </c>
      <c r="L41" s="100"/>
      <c r="Q41" s="70"/>
    </row>
    <row r="42" spans="1:17" ht="12.75" customHeight="1" x14ac:dyDescent="0.25">
      <c r="A42" s="416" t="s">
        <v>116</v>
      </c>
      <c r="B42" s="426"/>
      <c r="C42" s="642">
        <f>'C2C'!C214</f>
        <v>0</v>
      </c>
      <c r="D42" s="670">
        <f>'C2C'!D214</f>
        <v>24864824.959199883</v>
      </c>
      <c r="E42" s="408">
        <f>'C2C'!E214</f>
        <v>24864824.959199883</v>
      </c>
      <c r="F42" s="408">
        <f>'C2C'!F214</f>
        <v>1622279.1</v>
      </c>
      <c r="G42" s="408">
        <f>'C2C'!G214</f>
        <v>8809828.9399999995</v>
      </c>
      <c r="H42" s="408">
        <f>'C2C'!H214</f>
        <v>10360343.732999951</v>
      </c>
      <c r="I42" s="47">
        <f t="shared" si="10"/>
        <v>-1550514.7929999512</v>
      </c>
      <c r="J42" s="200">
        <f t="shared" si="11"/>
        <v>-0.14965862455520892</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3353046546.6774907</v>
      </c>
      <c r="F43" s="637">
        <f t="shared" si="14"/>
        <v>293006671.10000002</v>
      </c>
      <c r="G43" s="637">
        <f t="shared" si="14"/>
        <v>1550483163.7100008</v>
      </c>
      <c r="H43" s="637">
        <f t="shared" si="14"/>
        <v>1397102727.7822876</v>
      </c>
      <c r="I43" s="47">
        <f t="shared" si="14"/>
        <v>153380435.92771292</v>
      </c>
      <c r="J43" s="200">
        <f t="shared" si="11"/>
        <v>0.10978465139151486</v>
      </c>
      <c r="K43" s="641">
        <f>SUM(K44:K47)</f>
        <v>3353046546.6774907</v>
      </c>
      <c r="L43" s="100"/>
      <c r="Q43" s="70"/>
    </row>
    <row r="44" spans="1:17" ht="12.75" customHeight="1" x14ac:dyDescent="0.25">
      <c r="A44" s="416" t="s">
        <v>1191</v>
      </c>
      <c r="B44" s="426"/>
      <c r="C44" s="642">
        <f>'C2C'!C222</f>
        <v>0</v>
      </c>
      <c r="D44" s="670">
        <f>'C2C'!D222</f>
        <v>2291332272.7237678</v>
      </c>
      <c r="E44" s="408">
        <f>'C2C'!E222</f>
        <v>2291332272.7237678</v>
      </c>
      <c r="F44" s="408">
        <f>'C2C'!F222</f>
        <v>192756858.72</v>
      </c>
      <c r="G44" s="408">
        <f>'C2C'!G222</f>
        <v>1034439000.3600007</v>
      </c>
      <c r="H44" s="408">
        <f>'C2C'!H222</f>
        <v>954721780.30156994</v>
      </c>
      <c r="I44" s="47">
        <f t="shared" si="10"/>
        <v>79717220.058430791</v>
      </c>
      <c r="J44" s="200">
        <f t="shared" si="11"/>
        <v>8.3497854247391687E-2</v>
      </c>
      <c r="K44" s="642">
        <f>'C2C'!K222</f>
        <v>2291332272.7237678</v>
      </c>
      <c r="L44" s="100"/>
      <c r="Q44" s="70"/>
    </row>
    <row r="45" spans="1:17" ht="12.75" customHeight="1" x14ac:dyDescent="0.25">
      <c r="A45" s="416" t="s">
        <v>1195</v>
      </c>
      <c r="B45" s="426"/>
      <c r="C45" s="642">
        <f>'C2C'!C226</f>
        <v>0</v>
      </c>
      <c r="D45" s="670">
        <f>'C2C'!D226</f>
        <v>0</v>
      </c>
      <c r="E45" s="408">
        <f>'C2C'!E226</f>
        <v>0</v>
      </c>
      <c r="F45" s="408">
        <f>'C2C'!F226</f>
        <v>69761810.859999999</v>
      </c>
      <c r="G45" s="408">
        <f>'C2C'!G226</f>
        <v>365699409.40999997</v>
      </c>
      <c r="H45" s="408">
        <f>'C2C'!H226</f>
        <v>0</v>
      </c>
      <c r="I45" s="47">
        <f t="shared" si="10"/>
        <v>365699409.40999997</v>
      </c>
      <c r="J45" s="200" t="e">
        <f t="shared" si="11"/>
        <v>#DIV/0!</v>
      </c>
      <c r="K45" s="642">
        <f>'C2C'!K226</f>
        <v>0</v>
      </c>
      <c r="L45" s="100"/>
      <c r="Q45" s="70"/>
    </row>
    <row r="46" spans="1:17" ht="12.75" customHeight="1" x14ac:dyDescent="0.25">
      <c r="A46" s="416" t="s">
        <v>118</v>
      </c>
      <c r="B46" s="426"/>
      <c r="C46" s="643">
        <f>'C2C'!C230</f>
        <v>0</v>
      </c>
      <c r="D46" s="671">
        <f>'C2C'!D230</f>
        <v>931929869.0260967</v>
      </c>
      <c r="E46" s="672">
        <f>'C2C'!E230</f>
        <v>931929869.0260967</v>
      </c>
      <c r="F46" s="672">
        <f>'C2C'!F230</f>
        <v>21401733.98</v>
      </c>
      <c r="G46" s="672">
        <f>'C2C'!G230</f>
        <v>99031335.689999998</v>
      </c>
      <c r="H46" s="672">
        <f>'C2C'!H230</f>
        <v>388304112.09420693</v>
      </c>
      <c r="I46" s="47">
        <f t="shared" si="10"/>
        <v>-289272776.40420693</v>
      </c>
      <c r="J46" s="200">
        <f t="shared" si="11"/>
        <v>-0.74496449405105991</v>
      </c>
      <c r="K46" s="673">
        <f>'C2C'!K230</f>
        <v>931929869.0260967</v>
      </c>
      <c r="L46" s="100"/>
      <c r="Q46" s="70"/>
    </row>
    <row r="47" spans="1:17" ht="12.75" customHeight="1" x14ac:dyDescent="0.25">
      <c r="A47" s="416" t="s">
        <v>119</v>
      </c>
      <c r="B47" s="426"/>
      <c r="C47" s="642">
        <f>'C2C'!C235</f>
        <v>0</v>
      </c>
      <c r="D47" s="670">
        <f>'C2C'!D235</f>
        <v>129784404.92762612</v>
      </c>
      <c r="E47" s="408">
        <f>'C2C'!E235</f>
        <v>129784404.92762612</v>
      </c>
      <c r="F47" s="408">
        <f>'C2C'!F235</f>
        <v>9086267.5400000028</v>
      </c>
      <c r="G47" s="408">
        <f>'C2C'!G235</f>
        <v>51313418.249999978</v>
      </c>
      <c r="H47" s="408">
        <f>'C2C'!H235</f>
        <v>54076835.386510879</v>
      </c>
      <c r="I47" s="47">
        <f t="shared" si="10"/>
        <v>-2763417.1365109012</v>
      </c>
      <c r="J47" s="200">
        <f t="shared" si="11"/>
        <v>-5.1101679984776216E-2</v>
      </c>
      <c r="K47" s="642">
        <f>'C2C'!K235</f>
        <v>129784404.92762612</v>
      </c>
      <c r="L47" s="100"/>
      <c r="Q47" s="70"/>
    </row>
    <row r="48" spans="1:17" ht="12.75" customHeight="1" x14ac:dyDescent="0.25">
      <c r="A48" s="414" t="s">
        <v>718</v>
      </c>
      <c r="B48" s="426"/>
      <c r="C48" s="641">
        <f>'C2C'!C240</f>
        <v>0</v>
      </c>
      <c r="D48" s="669">
        <f>'C2C'!D240</f>
        <v>81300979.882271051</v>
      </c>
      <c r="E48" s="637">
        <f>'C2C'!E240</f>
        <v>81300979.881984949</v>
      </c>
      <c r="F48" s="637">
        <f>'C2C'!F240</f>
        <v>4308940.6100000013</v>
      </c>
      <c r="G48" s="637">
        <f>'C2C'!G240</f>
        <v>25507268.949999999</v>
      </c>
      <c r="H48" s="637">
        <f>'C2C'!H240</f>
        <v>33875408.284160398</v>
      </c>
      <c r="I48" s="102">
        <f t="shared" si="10"/>
        <v>-8368139.3341603987</v>
      </c>
      <c r="J48" s="713">
        <f t="shared" si="11"/>
        <v>-0.24702696610960723</v>
      </c>
      <c r="K48" s="641">
        <f>'C2C'!K240</f>
        <v>81300979.881984949</v>
      </c>
      <c r="L48" s="100"/>
      <c r="Q48" s="70"/>
    </row>
    <row r="49" spans="1:17" ht="12.75" customHeight="1" x14ac:dyDescent="0.25">
      <c r="A49" s="92" t="s">
        <v>1209</v>
      </c>
      <c r="B49" s="422">
        <v>3</v>
      </c>
      <c r="C49" s="600">
        <f>C29+C33+C39+C43+C48</f>
        <v>0</v>
      </c>
      <c r="D49" s="598">
        <f t="shared" ref="D49:I49" si="15">D29+D33+D39+D43+D48</f>
        <v>5502340406.032732</v>
      </c>
      <c r="E49" s="545">
        <f t="shared" si="15"/>
        <v>5559528170.2307873</v>
      </c>
      <c r="F49" s="545">
        <f t="shared" si="15"/>
        <v>439316979.02000004</v>
      </c>
      <c r="G49" s="545">
        <f t="shared" si="15"/>
        <v>2307630800.4100008</v>
      </c>
      <c r="H49" s="545">
        <f t="shared" si="15"/>
        <v>2316470070.9294949</v>
      </c>
      <c r="I49" s="545">
        <f t="shared" si="15"/>
        <v>-8839270.5194941275</v>
      </c>
      <c r="J49" s="599">
        <f t="shared" si="11"/>
        <v>-3.8158362719304755E-3</v>
      </c>
      <c r="K49" s="720">
        <f>K29+K33+K39+K43+K48</f>
        <v>5559528170.2307873</v>
      </c>
      <c r="L49" s="100"/>
      <c r="Q49" s="75"/>
    </row>
    <row r="50" spans="1:17" ht="12.75" customHeight="1" x14ac:dyDescent="0.25">
      <c r="A50" s="94" t="s">
        <v>893</v>
      </c>
      <c r="B50" s="429"/>
      <c r="C50" s="540">
        <f t="shared" ref="C50:H50" si="16">C26-C49</f>
        <v>0</v>
      </c>
      <c r="D50" s="640">
        <f t="shared" si="16"/>
        <v>941737276.83932972</v>
      </c>
      <c r="E50" s="634">
        <f t="shared" si="16"/>
        <v>973171668.64127731</v>
      </c>
      <c r="F50" s="634">
        <f t="shared" si="16"/>
        <v>22734446.949999988</v>
      </c>
      <c r="G50" s="634">
        <f t="shared" si="16"/>
        <v>263785246.9399991</v>
      </c>
      <c r="H50" s="634">
        <f t="shared" si="16"/>
        <v>405488195.26719904</v>
      </c>
      <c r="I50" s="634">
        <f>I26-I49</f>
        <v>-141702948.3272</v>
      </c>
      <c r="J50" s="638">
        <f>IF(I50=0,"",I50/H50)</f>
        <v>-0.34946257371025052</v>
      </c>
      <c r="K50" s="639">
        <f>K26-K49</f>
        <v>973171668.64127731</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6" t="s">
        <v>1212</v>
      </c>
      <c r="B55" s="1046"/>
      <c r="C55" s="1046"/>
      <c r="D55" s="1046"/>
      <c r="E55" s="1046"/>
      <c r="F55" s="1046"/>
      <c r="G55" s="1046"/>
      <c r="H55" s="1046"/>
      <c r="I55" s="1046"/>
      <c r="J55" s="1046"/>
      <c r="K55" s="1046"/>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D224" activePane="bottomRight" state="frozen"/>
      <selection pane="topRight"/>
      <selection pane="bottomLeft"/>
      <selection pane="bottomRight" activeCell="F241" sqref="F241:G246"/>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5" t="str">
        <f>muni&amp; " - "&amp;S71A&amp; " - "&amp;date</f>
        <v>KZN225 Msunduzi - Table C2 Monthly Budget Statement - Financial Performance (functional classification) - M05 November</v>
      </c>
      <c r="B1" s="1045"/>
      <c r="C1" s="1045"/>
      <c r="D1" s="1045"/>
      <c r="E1" s="1045"/>
      <c r="F1" s="1045"/>
      <c r="G1" s="1045"/>
      <c r="H1" s="1045"/>
      <c r="I1" s="1045"/>
      <c r="J1" s="1045"/>
      <c r="K1" s="1045"/>
    </row>
    <row r="2" spans="1:12" ht="13.5" customHeight="1" x14ac:dyDescent="0.25">
      <c r="A2" s="1043" t="str">
        <f>desc</f>
        <v>Description</v>
      </c>
      <c r="B2" s="1041" t="str">
        <f>head27</f>
        <v>Ref</v>
      </c>
      <c r="C2" s="24" t="str">
        <f>Head1</f>
        <v>2019/20</v>
      </c>
      <c r="D2" s="231" t="str">
        <f>Head2</f>
        <v>Budget Year 2020/21</v>
      </c>
      <c r="E2" s="229"/>
      <c r="F2" s="229"/>
      <c r="G2" s="229"/>
      <c r="H2" s="229"/>
      <c r="I2" s="229"/>
      <c r="J2" s="229"/>
      <c r="K2" s="230"/>
    </row>
    <row r="3" spans="1:12" ht="25.5" x14ac:dyDescent="0.25">
      <c r="A3" s="1044"/>
      <c r="B3" s="1042"/>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101878395.46000001</v>
      </c>
      <c r="G6" s="605">
        <f t="shared" si="0"/>
        <v>723558801.08999991</v>
      </c>
      <c r="H6" s="605">
        <f t="shared" si="0"/>
        <v>692223542.63229835</v>
      </c>
      <c r="I6" s="632">
        <f>G6-H6</f>
        <v>31335258.457701564</v>
      </c>
      <c r="J6" s="633">
        <f>IF(I6=0,"",I6/H6)</f>
        <v>4.5267542242992613E-2</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0</v>
      </c>
      <c r="G7" s="608">
        <f t="shared" si="1"/>
        <v>0</v>
      </c>
      <c r="H7" s="608">
        <f t="shared" si="1"/>
        <v>1853137.5055833333</v>
      </c>
      <c r="I7" s="608">
        <f t="shared" ref="I7:I123" si="2">G7-H7</f>
        <v>-1853137.5055833333</v>
      </c>
      <c r="J7" s="608">
        <f t="shared" ref="J7:J123" si="3">IF(I7=0,"",I7/H7)</f>
        <v>-1</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c r="G9" s="733"/>
      <c r="H9" s="733">
        <f>E9/12*5</f>
        <v>1853137.5055833333</v>
      </c>
      <c r="I9" s="408">
        <f t="shared" si="2"/>
        <v>-1853137.5055833333</v>
      </c>
      <c r="J9" s="408">
        <f t="shared" si="3"/>
        <v>-1</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101878395.46000001</v>
      </c>
      <c r="G10" s="608">
        <f t="shared" si="4"/>
        <v>723558801.08999991</v>
      </c>
      <c r="H10" s="608">
        <f t="shared" si="4"/>
        <v>690370405.12671506</v>
      </c>
      <c r="I10" s="608">
        <f t="shared" ref="I10:I15" si="5">G10-H10</f>
        <v>33188395.96328485</v>
      </c>
      <c r="J10" s="608">
        <f t="shared" ref="J10:J15" si="6">IF(I10=0,"",I10/H10)</f>
        <v>4.8073317912857572E-2</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100501700.06</v>
      </c>
      <c r="G13" s="733">
        <v>721668032.81999993</v>
      </c>
      <c r="H13" s="733">
        <f>E13/12*5</f>
        <v>682354079.84067333</v>
      </c>
      <c r="I13" s="408">
        <f t="shared" si="5"/>
        <v>39313952.979326606</v>
      </c>
      <c r="J13" s="408">
        <f t="shared" si="6"/>
        <v>5.7615179773683245E-2</v>
      </c>
      <c r="K13" s="735">
        <f>E13</f>
        <v>1637649791.6176159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560757.26</v>
      </c>
      <c r="G15" s="733">
        <v>3787591.53</v>
      </c>
      <c r="H15" s="733">
        <f>E15/12*5</f>
        <v>7908357.7670416664</v>
      </c>
      <c r="I15" s="408">
        <f t="shared" si="5"/>
        <v>-4120766.2370416666</v>
      </c>
      <c r="J15" s="408">
        <f t="shared" si="6"/>
        <v>-0.52106472145393967</v>
      </c>
      <c r="K15" s="735">
        <f>E15</f>
        <v>18980058.640900001</v>
      </c>
      <c r="L15" s="100"/>
    </row>
    <row r="16" spans="1:12" x14ac:dyDescent="0.25">
      <c r="A16" s="695" t="s">
        <v>162</v>
      </c>
      <c r="B16" s="415"/>
      <c r="C16" s="733"/>
      <c r="D16" s="733">
        <v>2016.0139999999999</v>
      </c>
      <c r="E16" s="733">
        <v>2016.0139999999999</v>
      </c>
      <c r="F16" s="733"/>
      <c r="G16" s="733">
        <v>58.26</v>
      </c>
      <c r="H16" s="733">
        <f>E16/12*5</f>
        <v>840.00583333333327</v>
      </c>
      <c r="I16" s="408">
        <f t="shared" ref="I16:I23" si="7">G16-H16</f>
        <v>-781.74583333333328</v>
      </c>
      <c r="J16" s="408">
        <f t="shared" ref="J16:J23" si="8">IF(I16=0,"",I16/H16)</f>
        <v>-0.93064333878633776</v>
      </c>
      <c r="K16" s="735">
        <f>E16</f>
        <v>2016.0139999999999</v>
      </c>
      <c r="L16" s="100"/>
    </row>
    <row r="17" spans="1:12" x14ac:dyDescent="0.25">
      <c r="A17" s="695" t="s">
        <v>1128</v>
      </c>
      <c r="B17" s="415"/>
      <c r="C17" s="733"/>
      <c r="D17" s="733">
        <v>257106.03159999999</v>
      </c>
      <c r="E17" s="733">
        <v>257106.03159999999</v>
      </c>
      <c r="F17" s="733"/>
      <c r="G17" s="733"/>
      <c r="H17" s="733">
        <f>E17/12*5</f>
        <v>107127.51316666667</v>
      </c>
      <c r="I17" s="408">
        <f t="shared" si="7"/>
        <v>-107127.51316666667</v>
      </c>
      <c r="J17" s="408">
        <f t="shared" si="8"/>
        <v>-1</v>
      </c>
      <c r="K17" s="735">
        <f>E17</f>
        <v>257106.03159999999</v>
      </c>
      <c r="L17" s="100"/>
    </row>
    <row r="18" spans="1:12" ht="22.5" x14ac:dyDescent="0.25">
      <c r="A18" s="695" t="s">
        <v>1129</v>
      </c>
      <c r="B18" s="415"/>
      <c r="C18" s="733"/>
      <c r="D18" s="733"/>
      <c r="E18" s="733"/>
      <c r="F18" s="733"/>
      <c r="G18" s="733"/>
      <c r="H18" s="733"/>
      <c r="I18" s="408">
        <f t="shared" si="7"/>
        <v>0</v>
      </c>
      <c r="J18" s="408" t="str">
        <f t="shared" si="8"/>
        <v/>
      </c>
      <c r="K18" s="735"/>
      <c r="L18" s="100"/>
    </row>
    <row r="19" spans="1:12" x14ac:dyDescent="0.25">
      <c r="A19" s="695" t="s">
        <v>163</v>
      </c>
      <c r="B19" s="415"/>
      <c r="C19" s="733"/>
      <c r="D19" s="733"/>
      <c r="E19" s="733"/>
      <c r="F19" s="733">
        <v>803493.55000000016</v>
      </c>
      <c r="G19" s="733">
        <v>-1954080.3599999994</v>
      </c>
      <c r="H19" s="733"/>
      <c r="I19" s="408">
        <f t="shared" si="7"/>
        <v>-1954080.3599999994</v>
      </c>
      <c r="J19" s="408" t="e">
        <f t="shared" si="8"/>
        <v>#DIV/0!</v>
      </c>
      <c r="K19" s="735"/>
      <c r="L19" s="100"/>
    </row>
    <row r="20" spans="1:12" x14ac:dyDescent="0.25">
      <c r="A20" s="695" t="s">
        <v>1130</v>
      </c>
      <c r="B20" s="415"/>
      <c r="C20" s="733"/>
      <c r="D20" s="733"/>
      <c r="E20" s="733"/>
      <c r="F20" s="733"/>
      <c r="G20" s="733"/>
      <c r="H20" s="733"/>
      <c r="I20" s="408">
        <f t="shared" si="7"/>
        <v>0</v>
      </c>
      <c r="J20" s="408" t="str">
        <f t="shared" si="8"/>
        <v/>
      </c>
      <c r="K20" s="735"/>
      <c r="L20" s="100"/>
    </row>
    <row r="21" spans="1:12" x14ac:dyDescent="0.25">
      <c r="A21" s="695" t="s">
        <v>1131</v>
      </c>
      <c r="B21" s="415"/>
      <c r="C21" s="733"/>
      <c r="D21" s="733"/>
      <c r="E21" s="733"/>
      <c r="F21" s="733"/>
      <c r="G21" s="733"/>
      <c r="H21" s="733"/>
      <c r="I21" s="408">
        <f t="shared" si="7"/>
        <v>0</v>
      </c>
      <c r="J21" s="408" t="str">
        <f t="shared" si="8"/>
        <v/>
      </c>
      <c r="K21" s="735"/>
      <c r="L21" s="100"/>
    </row>
    <row r="22" spans="1:12" x14ac:dyDescent="0.25">
      <c r="A22" s="695" t="s">
        <v>1132</v>
      </c>
      <c r="B22" s="415"/>
      <c r="C22" s="733"/>
      <c r="D22" s="733"/>
      <c r="E22" s="733"/>
      <c r="F22" s="733">
        <v>12444.59</v>
      </c>
      <c r="G22" s="733">
        <v>57198.840000000004</v>
      </c>
      <c r="H22" s="733"/>
      <c r="I22" s="408">
        <f t="shared" si="7"/>
        <v>57198.840000000004</v>
      </c>
      <c r="J22" s="408" t="e">
        <f t="shared" si="8"/>
        <v>#DIV/0!</v>
      </c>
      <c r="K22" s="735"/>
      <c r="L22" s="100"/>
    </row>
    <row r="23" spans="1:12" x14ac:dyDescent="0.25">
      <c r="A23" s="695" t="s">
        <v>1133</v>
      </c>
      <c r="B23" s="415"/>
      <c r="C23" s="733"/>
      <c r="D23" s="733"/>
      <c r="E23" s="733"/>
      <c r="F23" s="733"/>
      <c r="G23" s="733"/>
      <c r="H23" s="733"/>
      <c r="I23" s="408">
        <f t="shared" si="7"/>
        <v>0</v>
      </c>
      <c r="J23" s="408" t="str">
        <f t="shared" si="8"/>
        <v/>
      </c>
      <c r="K23" s="735"/>
      <c r="L23" s="100"/>
    </row>
    <row r="24" spans="1:12" x14ac:dyDescent="0.25">
      <c r="A24" s="607" t="s">
        <v>1134</v>
      </c>
      <c r="B24" s="415"/>
      <c r="C24" s="608">
        <f t="shared" ref="C24:H24" si="9">SUM(C25:C25)</f>
        <v>0</v>
      </c>
      <c r="D24" s="608">
        <f t="shared" si="9"/>
        <v>0</v>
      </c>
      <c r="E24" s="608">
        <f t="shared" si="9"/>
        <v>0</v>
      </c>
      <c r="F24" s="608">
        <f t="shared" si="9"/>
        <v>0</v>
      </c>
      <c r="G24" s="608">
        <f t="shared" si="9"/>
        <v>0</v>
      </c>
      <c r="H24" s="608">
        <f t="shared" si="9"/>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0">D27+D49+D55+D64+D67</f>
        <v>369251054.47721577</v>
      </c>
      <c r="E26" s="605">
        <f t="shared" si="10"/>
        <v>369251054.47721577</v>
      </c>
      <c r="F26" s="605">
        <f t="shared" si="10"/>
        <v>17532556.039999999</v>
      </c>
      <c r="G26" s="605">
        <f t="shared" si="10"/>
        <v>56064108.269999996</v>
      </c>
      <c r="H26" s="605">
        <f t="shared" si="10"/>
        <v>153854606.03217325</v>
      </c>
      <c r="I26" s="605">
        <f t="shared" si="2"/>
        <v>-97790497.76217325</v>
      </c>
      <c r="J26" s="605">
        <f t="shared" si="3"/>
        <v>-0.63560331591063202</v>
      </c>
      <c r="K26" s="606">
        <f t="shared" si="10"/>
        <v>369251054.47721577</v>
      </c>
      <c r="L26" s="100"/>
    </row>
    <row r="27" spans="1:12" x14ac:dyDescent="0.25">
      <c r="A27" s="607" t="s">
        <v>110</v>
      </c>
      <c r="B27" s="415"/>
      <c r="C27" s="611">
        <f t="shared" ref="C27:H27" si="11">SUM(C28:C48)</f>
        <v>0</v>
      </c>
      <c r="D27" s="611">
        <f t="shared" si="11"/>
        <v>26242986.682700001</v>
      </c>
      <c r="E27" s="611">
        <f t="shared" si="11"/>
        <v>26242986.682700001</v>
      </c>
      <c r="F27" s="611">
        <f t="shared" si="11"/>
        <v>1898041.7799999998</v>
      </c>
      <c r="G27" s="611">
        <f t="shared" si="11"/>
        <v>11756518.159999998</v>
      </c>
      <c r="H27" s="611">
        <f t="shared" si="11"/>
        <v>10934577.784458332</v>
      </c>
      <c r="I27" s="611">
        <f t="shared" si="2"/>
        <v>821940.37554166652</v>
      </c>
      <c r="J27" s="611">
        <f t="shared" si="3"/>
        <v>7.5168917515033545E-2</v>
      </c>
      <c r="K27" s="611">
        <f>SUM(K28:K48)</f>
        <v>26242986.682700001</v>
      </c>
      <c r="L27" s="100"/>
    </row>
    <row r="28" spans="1:12" x14ac:dyDescent="0.25">
      <c r="A28" s="695" t="s">
        <v>165</v>
      </c>
      <c r="B28" s="415"/>
      <c r="C28" s="733"/>
      <c r="D28" s="733"/>
      <c r="E28" s="733"/>
      <c r="F28" s="733"/>
      <c r="G28" s="733"/>
      <c r="H28" s="733"/>
      <c r="I28" s="408">
        <f t="shared" ref="I28:I34" si="12">G28-H28</f>
        <v>0</v>
      </c>
      <c r="J28" s="408" t="str">
        <f t="shared" ref="J28:J34" si="13">IF(I28=0,"",I28/H28)</f>
        <v/>
      </c>
      <c r="K28" s="735"/>
      <c r="L28" s="100"/>
    </row>
    <row r="29" spans="1:12" x14ac:dyDescent="0.25">
      <c r="A29" s="695" t="s">
        <v>712</v>
      </c>
      <c r="B29" s="415"/>
      <c r="C29" s="733"/>
      <c r="D29" s="733"/>
      <c r="E29" s="733"/>
      <c r="F29" s="733"/>
      <c r="G29" s="733"/>
      <c r="H29" s="733"/>
      <c r="I29" s="408">
        <f t="shared" si="12"/>
        <v>0</v>
      </c>
      <c r="J29" s="408" t="str">
        <f t="shared" si="13"/>
        <v/>
      </c>
      <c r="K29" s="735"/>
      <c r="L29" s="100"/>
    </row>
    <row r="30" spans="1:12" x14ac:dyDescent="0.25">
      <c r="A30" s="695" t="s">
        <v>1137</v>
      </c>
      <c r="B30" s="415"/>
      <c r="C30" s="733"/>
      <c r="D30" s="733"/>
      <c r="E30" s="733"/>
      <c r="F30" s="733"/>
      <c r="G30" s="733"/>
      <c r="H30" s="733"/>
      <c r="I30" s="408">
        <f t="shared" si="12"/>
        <v>0</v>
      </c>
      <c r="J30" s="408" t="str">
        <f t="shared" si="13"/>
        <v/>
      </c>
      <c r="K30" s="735"/>
      <c r="L30" s="100"/>
    </row>
    <row r="31" spans="1:12" ht="22.5" x14ac:dyDescent="0.25">
      <c r="A31" s="695" t="s">
        <v>1138</v>
      </c>
      <c r="B31" s="415"/>
      <c r="C31" s="733"/>
      <c r="D31" s="733">
        <v>3523188.2817999995</v>
      </c>
      <c r="E31" s="733">
        <v>3523188.2817999995</v>
      </c>
      <c r="F31" s="733">
        <v>219039.34</v>
      </c>
      <c r="G31" s="733">
        <v>1147971.26</v>
      </c>
      <c r="H31" s="733">
        <f>E31/12*5</f>
        <v>1467995.1174166664</v>
      </c>
      <c r="I31" s="408">
        <f t="shared" si="12"/>
        <v>-320023.85741666635</v>
      </c>
      <c r="J31" s="408">
        <f t="shared" si="13"/>
        <v>-0.21800062794475414</v>
      </c>
      <c r="K31" s="735">
        <f>E31</f>
        <v>3523188.2817999995</v>
      </c>
      <c r="L31" s="100"/>
    </row>
    <row r="32" spans="1:12" x14ac:dyDescent="0.25">
      <c r="A32" s="695" t="s">
        <v>1139</v>
      </c>
      <c r="B32" s="415"/>
      <c r="C32" s="733"/>
      <c r="D32" s="733"/>
      <c r="E32" s="733"/>
      <c r="F32" s="733"/>
      <c r="G32" s="733"/>
      <c r="H32" s="733"/>
      <c r="I32" s="408">
        <f t="shared" si="12"/>
        <v>0</v>
      </c>
      <c r="J32" s="408" t="str">
        <f t="shared" si="13"/>
        <v/>
      </c>
      <c r="K32" s="735"/>
      <c r="L32" s="100"/>
    </row>
    <row r="33" spans="1:12" x14ac:dyDescent="0.25">
      <c r="A33" s="695" t="s">
        <v>1140</v>
      </c>
      <c r="B33" s="415"/>
      <c r="C33" s="733"/>
      <c r="D33" s="733">
        <v>1045798.4008999999</v>
      </c>
      <c r="E33" s="733">
        <v>1045798.4008999999</v>
      </c>
      <c r="F33" s="733">
        <v>298391.02999999991</v>
      </c>
      <c r="G33" s="733">
        <v>1296682.9999999998</v>
      </c>
      <c r="H33" s="733">
        <f>E33/12*5</f>
        <v>435749.33370833332</v>
      </c>
      <c r="I33" s="408">
        <f t="shared" si="12"/>
        <v>860933.66629166645</v>
      </c>
      <c r="J33" s="408">
        <f t="shared" si="13"/>
        <v>1.9757544067019233</v>
      </c>
      <c r="K33" s="735">
        <f>E33</f>
        <v>1045798.4008999999</v>
      </c>
      <c r="L33" s="100"/>
    </row>
    <row r="34" spans="1:12" x14ac:dyDescent="0.25">
      <c r="A34" s="695" t="s">
        <v>1141</v>
      </c>
      <c r="B34" s="415"/>
      <c r="C34" s="733"/>
      <c r="D34" s="733"/>
      <c r="E34" s="733"/>
      <c r="F34" s="733"/>
      <c r="G34" s="733"/>
      <c r="H34" s="733"/>
      <c r="I34" s="408">
        <f t="shared" si="12"/>
        <v>0</v>
      </c>
      <c r="J34" s="408" t="str">
        <f t="shared" si="13"/>
        <v/>
      </c>
      <c r="K34" s="735"/>
      <c r="L34" s="100"/>
    </row>
    <row r="35" spans="1:12" x14ac:dyDescent="0.25">
      <c r="A35" s="695" t="s">
        <v>1142</v>
      </c>
      <c r="B35" s="415"/>
      <c r="C35" s="733"/>
      <c r="D35" s="733"/>
      <c r="E35" s="733"/>
      <c r="F35" s="733"/>
      <c r="G35" s="733"/>
      <c r="H35" s="733"/>
      <c r="I35" s="408">
        <f t="shared" ref="I35:I40" si="14">G35-H35</f>
        <v>0</v>
      </c>
      <c r="J35" s="408" t="str">
        <f t="shared" ref="J35:J40" si="15">IF(I35=0,"",I35/H35)</f>
        <v/>
      </c>
      <c r="K35" s="735"/>
      <c r="L35" s="100"/>
    </row>
    <row r="36" spans="1:12" x14ac:dyDescent="0.25">
      <c r="A36" s="695" t="s">
        <v>1143</v>
      </c>
      <c r="B36" s="415"/>
      <c r="C36" s="733"/>
      <c r="D36" s="733"/>
      <c r="E36" s="733"/>
      <c r="F36" s="733"/>
      <c r="G36" s="733"/>
      <c r="H36" s="733"/>
      <c r="I36" s="408">
        <f t="shared" si="14"/>
        <v>0</v>
      </c>
      <c r="J36" s="408" t="str">
        <f t="shared" si="15"/>
        <v/>
      </c>
      <c r="K36" s="735"/>
      <c r="L36" s="100"/>
    </row>
    <row r="37" spans="1:12" x14ac:dyDescent="0.25">
      <c r="A37" s="695" t="s">
        <v>1004</v>
      </c>
      <c r="B37" s="415"/>
      <c r="C37" s="733"/>
      <c r="D37" s="733"/>
      <c r="E37" s="733"/>
      <c r="F37" s="733"/>
      <c r="G37" s="733"/>
      <c r="H37" s="733"/>
      <c r="I37" s="408">
        <f t="shared" si="14"/>
        <v>0</v>
      </c>
      <c r="J37" s="408" t="str">
        <f t="shared" si="15"/>
        <v/>
      </c>
      <c r="K37" s="735"/>
      <c r="L37" s="100"/>
    </row>
    <row r="38" spans="1:12" x14ac:dyDescent="0.25">
      <c r="A38" s="695" t="s">
        <v>1144</v>
      </c>
      <c r="B38" s="415"/>
      <c r="C38" s="733"/>
      <c r="D38" s="733"/>
      <c r="E38" s="733"/>
      <c r="F38" s="733"/>
      <c r="G38" s="733"/>
      <c r="H38" s="733"/>
      <c r="I38" s="408">
        <f t="shared" si="14"/>
        <v>0</v>
      </c>
      <c r="J38" s="408" t="str">
        <f t="shared" si="15"/>
        <v/>
      </c>
      <c r="K38" s="735"/>
      <c r="L38" s="100"/>
    </row>
    <row r="39" spans="1:12" x14ac:dyDescent="0.25">
      <c r="A39" s="695" t="s">
        <v>1145</v>
      </c>
      <c r="B39" s="415"/>
      <c r="C39" s="733"/>
      <c r="D39" s="733"/>
      <c r="E39" s="733"/>
      <c r="F39" s="733"/>
      <c r="G39" s="733"/>
      <c r="H39" s="733"/>
      <c r="I39" s="408">
        <f t="shared" si="14"/>
        <v>0</v>
      </c>
      <c r="J39" s="408" t="str">
        <f t="shared" si="15"/>
        <v/>
      </c>
      <c r="K39" s="735"/>
      <c r="L39" s="100"/>
    </row>
    <row r="40" spans="1:12" x14ac:dyDescent="0.25">
      <c r="A40" s="695" t="s">
        <v>1146</v>
      </c>
      <c r="B40" s="415"/>
      <c r="C40" s="733"/>
      <c r="D40" s="733"/>
      <c r="E40" s="733"/>
      <c r="F40" s="733"/>
      <c r="G40" s="733"/>
      <c r="H40" s="733"/>
      <c r="I40" s="408">
        <f t="shared" si="14"/>
        <v>0</v>
      </c>
      <c r="J40" s="408" t="str">
        <f t="shared" si="15"/>
        <v/>
      </c>
      <c r="K40" s="735"/>
      <c r="L40" s="100"/>
    </row>
    <row r="41" spans="1:12" x14ac:dyDescent="0.25">
      <c r="A41" s="695" t="s">
        <v>164</v>
      </c>
      <c r="B41" s="415"/>
      <c r="C41" s="733"/>
      <c r="D41" s="733">
        <v>10974000</v>
      </c>
      <c r="E41" s="733">
        <v>10974000</v>
      </c>
      <c r="F41" s="733">
        <v>1380611.41</v>
      </c>
      <c r="G41" s="733">
        <v>9259077.5299999993</v>
      </c>
      <c r="H41" s="733">
        <f>E41/12*5</f>
        <v>4572500</v>
      </c>
      <c r="I41" s="408">
        <f t="shared" si="2"/>
        <v>4686577.5299999993</v>
      </c>
      <c r="J41" s="408">
        <f t="shared" si="3"/>
        <v>1.0249486123564788</v>
      </c>
      <c r="K41" s="735">
        <f>E41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c r="D44" s="733">
        <v>10700000</v>
      </c>
      <c r="E44" s="733">
        <v>10700000</v>
      </c>
      <c r="F44" s="733"/>
      <c r="G44" s="733">
        <v>52786.37</v>
      </c>
      <c r="H44" s="733">
        <f>E44/12*5</f>
        <v>4458333.333333333</v>
      </c>
      <c r="I44" s="408">
        <f t="shared" si="2"/>
        <v>-4405546.9633333329</v>
      </c>
      <c r="J44" s="408">
        <f t="shared" si="3"/>
        <v>-0.98816006654205601</v>
      </c>
      <c r="K44" s="735">
        <f>E44</f>
        <v>10700000</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6">SUM(D50:D54)</f>
        <v>11002054.78726843</v>
      </c>
      <c r="E49" s="611">
        <f t="shared" si="16"/>
        <v>11002054.78726843</v>
      </c>
      <c r="F49" s="611">
        <f t="shared" si="16"/>
        <v>21096.739999999998</v>
      </c>
      <c r="G49" s="611">
        <f t="shared" si="16"/>
        <v>36407.079999999929</v>
      </c>
      <c r="H49" s="611">
        <f t="shared" si="16"/>
        <v>4584189.4946951792</v>
      </c>
      <c r="I49" s="611">
        <f t="shared" ref="I49:I54" si="17">G49-H49</f>
        <v>-4547782.4146951791</v>
      </c>
      <c r="J49" s="611">
        <f t="shared" ref="J49:J54" si="18">IF(I49=0,"",I49/H49)</f>
        <v>-0.99205812062478427</v>
      </c>
      <c r="K49" s="614">
        <f t="shared" si="16"/>
        <v>11002054.78726843</v>
      </c>
      <c r="L49" s="100"/>
    </row>
    <row r="50" spans="1:12" x14ac:dyDescent="0.25">
      <c r="A50" s="695" t="s">
        <v>1154</v>
      </c>
      <c r="B50" s="415"/>
      <c r="C50" s="733"/>
      <c r="D50" s="733"/>
      <c r="E50" s="733"/>
      <c r="F50" s="733"/>
      <c r="G50" s="733"/>
      <c r="H50" s="733"/>
      <c r="I50" s="408">
        <f t="shared" si="17"/>
        <v>0</v>
      </c>
      <c r="J50" s="408" t="str">
        <f t="shared" si="18"/>
        <v/>
      </c>
      <c r="K50" s="735"/>
      <c r="L50" s="100"/>
    </row>
    <row r="51" spans="1:12" x14ac:dyDescent="0.25">
      <c r="A51" s="695" t="s">
        <v>1155</v>
      </c>
      <c r="B51" s="415"/>
      <c r="C51" s="733"/>
      <c r="D51" s="733"/>
      <c r="E51" s="733"/>
      <c r="F51" s="733"/>
      <c r="G51" s="733"/>
      <c r="H51" s="733"/>
      <c r="I51" s="408">
        <f t="shared" si="17"/>
        <v>0</v>
      </c>
      <c r="J51" s="408" t="str">
        <f t="shared" si="18"/>
        <v/>
      </c>
      <c r="K51" s="735"/>
      <c r="L51" s="100"/>
    </row>
    <row r="52" spans="1:12" x14ac:dyDescent="0.25">
      <c r="A52" s="695" t="s">
        <v>1156</v>
      </c>
      <c r="B52" s="415"/>
      <c r="C52" s="733"/>
      <c r="D52" s="733"/>
      <c r="E52" s="733"/>
      <c r="F52" s="733"/>
      <c r="G52" s="733"/>
      <c r="H52" s="733"/>
      <c r="I52" s="408">
        <f t="shared" si="17"/>
        <v>0</v>
      </c>
      <c r="J52" s="408" t="str">
        <f t="shared" si="18"/>
        <v/>
      </c>
      <c r="K52" s="735"/>
      <c r="L52" s="100"/>
    </row>
    <row r="53" spans="1:12" x14ac:dyDescent="0.25">
      <c r="A53" s="695" t="s">
        <v>1157</v>
      </c>
      <c r="B53" s="415"/>
      <c r="C53" s="733"/>
      <c r="D53" s="733">
        <v>11002054.78726843</v>
      </c>
      <c r="E53" s="733">
        <v>11002054.78726843</v>
      </c>
      <c r="F53" s="733">
        <v>21096.739999999998</v>
      </c>
      <c r="G53" s="733">
        <v>36407.079999999929</v>
      </c>
      <c r="H53" s="733">
        <f>E53/12*5</f>
        <v>4584189.4946951792</v>
      </c>
      <c r="I53" s="408">
        <f t="shared" si="17"/>
        <v>-4547782.4146951791</v>
      </c>
      <c r="J53" s="408">
        <f t="shared" si="18"/>
        <v>-0.99205812062478427</v>
      </c>
      <c r="K53" s="735">
        <f>E53</f>
        <v>11002054.78726843</v>
      </c>
      <c r="L53" s="100"/>
    </row>
    <row r="54" spans="1:12" x14ac:dyDescent="0.25">
      <c r="A54" s="695" t="s">
        <v>1158</v>
      </c>
      <c r="B54" s="415"/>
      <c r="C54" s="733"/>
      <c r="D54" s="733"/>
      <c r="E54" s="733"/>
      <c r="F54" s="733"/>
      <c r="G54" s="733"/>
      <c r="H54" s="733"/>
      <c r="I54" s="408">
        <f t="shared" si="17"/>
        <v>0</v>
      </c>
      <c r="J54" s="408" t="str">
        <f t="shared" si="18"/>
        <v/>
      </c>
      <c r="K54" s="735"/>
      <c r="L54" s="100"/>
    </row>
    <row r="55" spans="1:12" x14ac:dyDescent="0.25">
      <c r="A55" s="607" t="s">
        <v>112</v>
      </c>
      <c r="B55" s="415"/>
      <c r="C55" s="611">
        <f>SUM(C56:C63)</f>
        <v>0</v>
      </c>
      <c r="D55" s="611">
        <f t="shared" ref="D55:K55" si="19">SUM(D56:D63)</f>
        <v>3768735.4638999999</v>
      </c>
      <c r="E55" s="611">
        <f t="shared" si="19"/>
        <v>3768735.4638999999</v>
      </c>
      <c r="F55" s="611">
        <f t="shared" si="19"/>
        <v>435805.29000000004</v>
      </c>
      <c r="G55" s="611">
        <f t="shared" si="19"/>
        <v>824216.36</v>
      </c>
      <c r="H55" s="611">
        <f t="shared" si="19"/>
        <v>1570306.4432916667</v>
      </c>
      <c r="I55" s="611">
        <f t="shared" si="2"/>
        <v>-746090.0832916667</v>
      </c>
      <c r="J55" s="611">
        <f t="shared" si="3"/>
        <v>-0.47512387564793868</v>
      </c>
      <c r="K55" s="614">
        <f t="shared" si="19"/>
        <v>3768735.4638999999</v>
      </c>
      <c r="L55" s="100"/>
    </row>
    <row r="56" spans="1:12" x14ac:dyDescent="0.25">
      <c r="A56" s="695" t="s">
        <v>167</v>
      </c>
      <c r="B56" s="415"/>
      <c r="C56" s="733"/>
      <c r="D56" s="733"/>
      <c r="E56" s="733"/>
      <c r="F56" s="733"/>
      <c r="G56" s="733"/>
      <c r="H56" s="733"/>
      <c r="I56" s="408">
        <f t="shared" si="2"/>
        <v>0</v>
      </c>
      <c r="J56" s="408" t="str">
        <f t="shared" si="3"/>
        <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16833.88</v>
      </c>
      <c r="G60" s="733">
        <v>153582.12</v>
      </c>
      <c r="H60" s="733">
        <f>E60/12*5</f>
        <v>139278.96720833334</v>
      </c>
      <c r="I60" s="408">
        <f t="shared" si="2"/>
        <v>14303.152791666653</v>
      </c>
      <c r="J60" s="408">
        <f t="shared" si="3"/>
        <v>0.10269427666183087</v>
      </c>
      <c r="K60" s="735">
        <f>E60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ht="22.5" x14ac:dyDescent="0.25">
      <c r="A62" s="695" t="s">
        <v>1181</v>
      </c>
      <c r="B62" s="415"/>
      <c r="C62" s="733"/>
      <c r="D62" s="733">
        <v>3434465.9425999997</v>
      </c>
      <c r="E62" s="733">
        <v>3434465.9425999997</v>
      </c>
      <c r="F62" s="733">
        <v>418971.41000000003</v>
      </c>
      <c r="G62" s="733">
        <v>670634.23999999999</v>
      </c>
      <c r="H62" s="733">
        <f>E62/12*5</f>
        <v>1431027.4760833334</v>
      </c>
      <c r="I62" s="408">
        <f>G62-H62</f>
        <v>-760393.23608333338</v>
      </c>
      <c r="J62" s="408">
        <f>IF(I62=0,"",I62/H62)</f>
        <v>-0.53136173049905377</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0">SUM(C65:C66)</f>
        <v>0</v>
      </c>
      <c r="D64" s="611">
        <f t="shared" si="20"/>
        <v>328237277.54334736</v>
      </c>
      <c r="E64" s="611">
        <f t="shared" si="20"/>
        <v>328237277.54334736</v>
      </c>
      <c r="F64" s="611">
        <f t="shared" si="20"/>
        <v>15177612.229999999</v>
      </c>
      <c r="G64" s="611">
        <f t="shared" si="20"/>
        <v>43446966.670000002</v>
      </c>
      <c r="H64" s="611">
        <f t="shared" si="20"/>
        <v>136765532.30972806</v>
      </c>
      <c r="I64" s="611">
        <f>G64-H64</f>
        <v>-93318565.639728054</v>
      </c>
      <c r="J64" s="611">
        <f>IF(I64=0,"",I64/H64)</f>
        <v>-0.68232517406792825</v>
      </c>
      <c r="K64" s="614">
        <f>SUM(K65:K66)</f>
        <v>328237277.54334736</v>
      </c>
      <c r="L64" s="100"/>
    </row>
    <row r="65" spans="1:12" x14ac:dyDescent="0.25">
      <c r="A65" s="695" t="s">
        <v>711</v>
      </c>
      <c r="B65" s="415"/>
      <c r="C65" s="733"/>
      <c r="D65" s="733">
        <v>328237277.54334736</v>
      </c>
      <c r="E65" s="733">
        <v>328237277.54334736</v>
      </c>
      <c r="F65" s="733">
        <v>15177612.229999999</v>
      </c>
      <c r="G65" s="733">
        <v>43446966.670000002</v>
      </c>
      <c r="H65" s="733">
        <f>E65/12*5</f>
        <v>136765532.30972806</v>
      </c>
      <c r="I65" s="408">
        <f>G65-H65</f>
        <v>-93318565.639728054</v>
      </c>
      <c r="J65" s="408">
        <f>IF(I65=0,"",I65/H65)</f>
        <v>-0.68232517406792825</v>
      </c>
      <c r="K65" s="735">
        <f>E65</f>
        <v>328237277.54334736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1">SUM(C68:C74)</f>
        <v>0</v>
      </c>
      <c r="D67" s="611">
        <f t="shared" si="21"/>
        <v>0</v>
      </c>
      <c r="E67" s="611">
        <f t="shared" si="21"/>
        <v>0</v>
      </c>
      <c r="F67" s="611">
        <f t="shared" si="21"/>
        <v>0</v>
      </c>
      <c r="G67" s="611">
        <f t="shared" si="21"/>
        <v>0</v>
      </c>
      <c r="H67" s="611">
        <f t="shared" si="21"/>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2">C76+C87+C92</f>
        <v>0</v>
      </c>
      <c r="D75" s="605">
        <f t="shared" si="22"/>
        <v>106923434.37381519</v>
      </c>
      <c r="E75" s="605">
        <f t="shared" si="22"/>
        <v>106923434.37381519</v>
      </c>
      <c r="F75" s="605">
        <f t="shared" si="22"/>
        <v>26717506.789999999</v>
      </c>
      <c r="G75" s="605">
        <f t="shared" si="22"/>
        <v>82201398.769999996</v>
      </c>
      <c r="H75" s="605">
        <f t="shared" si="22"/>
        <v>44551430.989089668</v>
      </c>
      <c r="I75" s="605">
        <f t="shared" si="2"/>
        <v>37649967.780910328</v>
      </c>
      <c r="J75" s="605">
        <f t="shared" si="3"/>
        <v>0.84508997679851272</v>
      </c>
      <c r="K75" s="606">
        <f>K76+K87+K92</f>
        <v>106923434.37381519</v>
      </c>
      <c r="L75" s="100"/>
    </row>
    <row r="76" spans="1:12" x14ac:dyDescent="0.25">
      <c r="A76" s="607" t="s">
        <v>114</v>
      </c>
      <c r="B76" s="417"/>
      <c r="C76" s="611">
        <f t="shared" ref="C76:H76" si="23">SUM(C77:C86)</f>
        <v>0</v>
      </c>
      <c r="D76" s="611">
        <f t="shared" si="23"/>
        <v>41022287.158399999</v>
      </c>
      <c r="E76" s="611">
        <f t="shared" si="23"/>
        <v>41022287.158399999</v>
      </c>
      <c r="F76" s="611">
        <f t="shared" si="23"/>
        <v>228095.3</v>
      </c>
      <c r="G76" s="611">
        <f t="shared" si="23"/>
        <v>-254940.69999999995</v>
      </c>
      <c r="H76" s="611">
        <f t="shared" si="23"/>
        <v>17092619.649333332</v>
      </c>
      <c r="I76" s="611">
        <f t="shared" si="2"/>
        <v>-17347560.349333331</v>
      </c>
      <c r="J76" s="611">
        <f t="shared" si="3"/>
        <v>-1.0149152502793768</v>
      </c>
      <c r="K76" s="611">
        <f>SUM(K77:K86)</f>
        <v>41022287.158399999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c r="F81" s="733"/>
      <c r="G81" s="733"/>
      <c r="H81" s="733"/>
      <c r="I81" s="408">
        <f>G81-H81</f>
        <v>0</v>
      </c>
      <c r="J81" s="408" t="str">
        <f>IF(I81=0,"",I81/H81)</f>
        <v/>
      </c>
      <c r="K81" s="735"/>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c r="D83" s="733">
        <v>41022287.158399999</v>
      </c>
      <c r="E83" s="733">
        <v>41022287.158399999</v>
      </c>
      <c r="F83" s="733">
        <v>228095.3</v>
      </c>
      <c r="G83" s="733">
        <v>-254940.69999999995</v>
      </c>
      <c r="H83" s="733">
        <f>E83/12*5</f>
        <v>17092619.649333332</v>
      </c>
      <c r="I83" s="408">
        <f>G83-H83</f>
        <v>-17347560.349333331</v>
      </c>
      <c r="J83" s="408">
        <f>IF(I83=0,"",I83/H83)</f>
        <v>-1.0149152502793768</v>
      </c>
      <c r="K83" s="735">
        <f>E83</f>
        <v>41022287.158399999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4">SUM(C88:C91)</f>
        <v>0</v>
      </c>
      <c r="D87" s="611">
        <f t="shared" si="24"/>
        <v>65792799.755315199</v>
      </c>
      <c r="E87" s="611">
        <f t="shared" si="24"/>
        <v>65792799.755315199</v>
      </c>
      <c r="F87" s="611">
        <f t="shared" si="24"/>
        <v>26489411.489999998</v>
      </c>
      <c r="G87" s="611">
        <f t="shared" si="24"/>
        <v>82441089.469999999</v>
      </c>
      <c r="H87" s="611">
        <f t="shared" si="24"/>
        <v>27413666.564714666</v>
      </c>
      <c r="I87" s="611">
        <f t="shared" si="2"/>
        <v>55027422.905285329</v>
      </c>
      <c r="J87" s="611">
        <f t="shared" si="3"/>
        <v>2.0072989060176845</v>
      </c>
      <c r="K87" s="614">
        <f>SUM(K88:K91)</f>
        <v>65792799.755315199</v>
      </c>
      <c r="L87" s="100"/>
    </row>
    <row r="88" spans="1:12" x14ac:dyDescent="0.25">
      <c r="A88" s="695" t="s">
        <v>1183</v>
      </c>
      <c r="B88" s="417"/>
      <c r="C88" s="733"/>
      <c r="D88" s="733">
        <v>65792799.755315199</v>
      </c>
      <c r="E88" s="733">
        <v>65792799.755315199</v>
      </c>
      <c r="F88" s="733">
        <v>24027426.059999999</v>
      </c>
      <c r="G88" s="733">
        <v>59825333.950000003</v>
      </c>
      <c r="H88" s="733">
        <f>E88/12*5</f>
        <v>27413666.564714666</v>
      </c>
      <c r="I88" s="408">
        <f t="shared" si="2"/>
        <v>32411667.385285337</v>
      </c>
      <c r="J88" s="408">
        <f t="shared" si="3"/>
        <v>1.1823178526218676</v>
      </c>
      <c r="K88" s="735">
        <f>E88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2461985.4300000002</v>
      </c>
      <c r="G90" s="733">
        <v>22615755.52</v>
      </c>
      <c r="H90" s="733"/>
      <c r="I90" s="408">
        <f t="shared" si="2"/>
        <v>22615755.52</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5">SUM(D93:D98)</f>
        <v>108347.4601</v>
      </c>
      <c r="E92" s="611">
        <f t="shared" si="25"/>
        <v>108347.4601</v>
      </c>
      <c r="F92" s="611">
        <f t="shared" si="25"/>
        <v>0</v>
      </c>
      <c r="G92" s="611">
        <f t="shared" si="25"/>
        <v>15250</v>
      </c>
      <c r="H92" s="611">
        <f t="shared" si="25"/>
        <v>45144.77504166666</v>
      </c>
      <c r="I92" s="611">
        <f t="shared" si="2"/>
        <v>-29894.77504166666</v>
      </c>
      <c r="J92" s="611">
        <f t="shared" si="3"/>
        <v>-0.6621978958600433</v>
      </c>
      <c r="K92" s="614">
        <f t="shared" si="25"/>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c r="G97" s="733">
        <v>15250</v>
      </c>
      <c r="H97" s="733">
        <f>E97/12*5</f>
        <v>45144.77504166666</v>
      </c>
      <c r="I97" s="408">
        <f t="shared" si="2"/>
        <v>-29894.77504166666</v>
      </c>
      <c r="J97" s="408">
        <f t="shared" si="3"/>
        <v>-0.6621978958600433</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6">D100+D104+D108+D113</f>
        <v>4331953791.0175152</v>
      </c>
      <c r="E99" s="605">
        <f t="shared" si="26"/>
        <v>4331577947.017518</v>
      </c>
      <c r="F99" s="605">
        <f t="shared" si="26"/>
        <v>312373507.69</v>
      </c>
      <c r="G99" s="605">
        <f t="shared" si="26"/>
        <v>1697649962.1200001</v>
      </c>
      <c r="H99" s="605">
        <f t="shared" si="26"/>
        <v>1804824144.5906327</v>
      </c>
      <c r="I99" s="605">
        <f t="shared" si="26"/>
        <v>-107174182.47063276</v>
      </c>
      <c r="J99" s="605">
        <f t="shared" si="3"/>
        <v>-5.9382063782697142E-2</v>
      </c>
      <c r="K99" s="606">
        <f>K100+K104+K108+K113</f>
        <v>4331577947.017518</v>
      </c>
      <c r="L99" s="100"/>
    </row>
    <row r="100" spans="1:12" x14ac:dyDescent="0.25">
      <c r="A100" s="607" t="s">
        <v>1191</v>
      </c>
      <c r="B100" s="417"/>
      <c r="C100" s="611">
        <f>SUM(C101:C103)</f>
        <v>0</v>
      </c>
      <c r="D100" s="611">
        <f t="shared" ref="D100:K100" si="27">SUM(D101:D103)</f>
        <v>2655002808.9206858</v>
      </c>
      <c r="E100" s="611">
        <f t="shared" si="27"/>
        <v>2655002808.9206858</v>
      </c>
      <c r="F100" s="611">
        <f t="shared" si="27"/>
        <v>180826446.78</v>
      </c>
      <c r="G100" s="611">
        <f t="shared" si="27"/>
        <v>1024047706.3800001</v>
      </c>
      <c r="H100" s="611">
        <f t="shared" si="27"/>
        <v>1106251170.3836193</v>
      </c>
      <c r="I100" s="611">
        <f t="shared" si="2"/>
        <v>-82203464.003619194</v>
      </c>
      <c r="J100" s="611">
        <f t="shared" si="3"/>
        <v>-7.4308137432399876E-2</v>
      </c>
      <c r="K100" s="614">
        <f t="shared" si="27"/>
        <v>2655002808.9206858</v>
      </c>
      <c r="L100" s="100"/>
    </row>
    <row r="101" spans="1:12" x14ac:dyDescent="0.25">
      <c r="A101" s="695" t="s">
        <v>1192</v>
      </c>
      <c r="B101" s="417"/>
      <c r="C101" s="733"/>
      <c r="D101" s="733">
        <v>2635365105.6563859</v>
      </c>
      <c r="E101" s="733">
        <v>2635365105.6563859</v>
      </c>
      <c r="F101" s="733">
        <v>180826446.78</v>
      </c>
      <c r="G101" s="733">
        <v>1024047706.3800001</v>
      </c>
      <c r="H101" s="733">
        <f>E101/12*5</f>
        <v>1098068794.0234942</v>
      </c>
      <c r="I101" s="408">
        <f t="shared" si="2"/>
        <v>-74021087.643494129</v>
      </c>
      <c r="J101" s="408">
        <f t="shared" si="3"/>
        <v>-6.7410246103315072E-2</v>
      </c>
      <c r="K101" s="735">
        <f>E101</f>
        <v>2635365105.6563859</v>
      </c>
      <c r="L101" s="100"/>
    </row>
    <row r="102" spans="1:12" x14ac:dyDescent="0.25">
      <c r="A102" s="695" t="s">
        <v>1193</v>
      </c>
      <c r="B102" s="417"/>
      <c r="C102" s="733"/>
      <c r="D102" s="733">
        <v>19637703.2643</v>
      </c>
      <c r="E102" s="733">
        <v>19637703.2643</v>
      </c>
      <c r="F102" s="733"/>
      <c r="G102" s="733"/>
      <c r="H102" s="733">
        <f>E102/12*5</f>
        <v>8182376.3601250006</v>
      </c>
      <c r="I102" s="408">
        <f>G102-H102</f>
        <v>-8182376.3601250006</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28">SUM(D105:D107)</f>
        <v>1253549994.0011687</v>
      </c>
      <c r="E104" s="611">
        <f t="shared" si="28"/>
        <v>1253174150.0011718</v>
      </c>
      <c r="F104" s="611">
        <f t="shared" si="28"/>
        <v>87925887.370000005</v>
      </c>
      <c r="G104" s="611">
        <f t="shared" si="28"/>
        <v>487645665.33999997</v>
      </c>
      <c r="H104" s="611">
        <f t="shared" si="28"/>
        <v>522155895.83382159</v>
      </c>
      <c r="I104" s="611">
        <f t="shared" si="2"/>
        <v>-34510230.493821621</v>
      </c>
      <c r="J104" s="611">
        <f t="shared" si="3"/>
        <v>-6.6091814282232389E-2</v>
      </c>
      <c r="K104" s="614">
        <f t="shared" si="28"/>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87925887.370000005</v>
      </c>
      <c r="G106" s="733">
        <v>487645665.33999997</v>
      </c>
      <c r="H106" s="733">
        <f>E106/12*5</f>
        <v>522155895.83382159</v>
      </c>
      <c r="I106" s="408">
        <f>G106-H106</f>
        <v>-34510230.493821621</v>
      </c>
      <c r="J106" s="408">
        <f>IF(I106=0,"",I106/H106)</f>
        <v>-6.6091814282232389E-2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29">SUM(D109:D112)</f>
        <v>173542219.90182328</v>
      </c>
      <c r="E108" s="611">
        <f t="shared" si="29"/>
        <v>173542219.90182328</v>
      </c>
      <c r="F108" s="611">
        <f t="shared" si="29"/>
        <v>27552769.789999999</v>
      </c>
      <c r="G108" s="611">
        <f t="shared" si="29"/>
        <v>119490918.00999999</v>
      </c>
      <c r="H108" s="611">
        <f t="shared" si="29"/>
        <v>72309258.292426363</v>
      </c>
      <c r="I108" s="611">
        <f t="shared" si="2"/>
        <v>47181659.717573628</v>
      </c>
      <c r="J108" s="611">
        <f t="shared" si="3"/>
        <v>0.65249818393608683</v>
      </c>
      <c r="K108" s="614">
        <f t="shared" si="29"/>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27552769.789999999</v>
      </c>
      <c r="G110" s="733">
        <v>119490918.00999999</v>
      </c>
      <c r="H110" s="733">
        <f>E110/12*5</f>
        <v>72309258.292426363</v>
      </c>
      <c r="I110" s="408">
        <f t="shared" si="2"/>
        <v>47181659.717573628</v>
      </c>
      <c r="J110" s="408">
        <f t="shared" si="3"/>
        <v>0.65249818393608683</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0">SUM(C114:C117)</f>
        <v>0</v>
      </c>
      <c r="D113" s="611">
        <f t="shared" si="30"/>
        <v>249858768.1938374</v>
      </c>
      <c r="E113" s="611">
        <f t="shared" si="30"/>
        <v>249858768.1938374</v>
      </c>
      <c r="F113" s="611">
        <f t="shared" si="30"/>
        <v>16068403.75</v>
      </c>
      <c r="G113" s="611">
        <f t="shared" si="30"/>
        <v>66465672.390000001</v>
      </c>
      <c r="H113" s="611">
        <f t="shared" si="30"/>
        <v>104107820.08076558</v>
      </c>
      <c r="I113" s="611">
        <f t="shared" si="2"/>
        <v>-37642147.690765575</v>
      </c>
      <c r="J113" s="611">
        <f t="shared" si="3"/>
        <v>-0.36156887793408082</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6404454.7600000007</v>
      </c>
      <c r="G115" s="733">
        <v>17939334.449999999</v>
      </c>
      <c r="H115" s="733">
        <f>E115/12*5</f>
        <v>104107820.08076558</v>
      </c>
      <c r="I115" s="408">
        <f>G115-H115</f>
        <v>-86168485.630765572</v>
      </c>
      <c r="J115" s="408">
        <f>IF(I115=0,"",I115/H115)</f>
        <v>-0.82768504387006769</v>
      </c>
      <c r="K115" s="735">
        <f>E115</f>
        <v>249858768.1938374</v>
      </c>
      <c r="L115" s="100"/>
    </row>
    <row r="116" spans="1:12" x14ac:dyDescent="0.25">
      <c r="A116" s="695" t="s">
        <v>1200</v>
      </c>
      <c r="B116" s="417"/>
      <c r="C116" s="733"/>
      <c r="D116" s="733"/>
      <c r="E116" s="733"/>
      <c r="F116" s="733">
        <v>9663948.9899999984</v>
      </c>
      <c r="G116" s="733">
        <v>48526337.940000005</v>
      </c>
      <c r="H116" s="733"/>
      <c r="I116" s="408">
        <f t="shared" si="2"/>
        <v>48526337.940000005</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1">SUM(D119:D124)</f>
        <v>63610900.686000004</v>
      </c>
      <c r="E118" s="611">
        <f t="shared" si="31"/>
        <v>63610900.686000004</v>
      </c>
      <c r="F118" s="611">
        <f t="shared" si="31"/>
        <v>3549459.99</v>
      </c>
      <c r="G118" s="611">
        <f t="shared" si="31"/>
        <v>11941777.100000001</v>
      </c>
      <c r="H118" s="611">
        <f t="shared" si="31"/>
        <v>26504541.952500004</v>
      </c>
      <c r="I118" s="611">
        <f t="shared" si="2"/>
        <v>-14562764.852500003</v>
      </c>
      <c r="J118" s="611">
        <f t="shared" si="3"/>
        <v>-0.54944412465601544</v>
      </c>
      <c r="K118" s="614">
        <f t="shared" si="31"/>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1968196.92</v>
      </c>
      <c r="G120" s="733">
        <v>2484041.46</v>
      </c>
      <c r="H120" s="733">
        <f>E120/12*5</f>
        <v>5204466.4978750004</v>
      </c>
      <c r="I120" s="408">
        <f t="shared" si="2"/>
        <v>-2720425.0378750004</v>
      </c>
      <c r="J120" s="408">
        <f t="shared" si="3"/>
        <v>-0.52270968388128891</v>
      </c>
      <c r="K120" s="735">
        <f>E120</f>
        <v>12490719.594900001</v>
      </c>
      <c r="L120" s="100"/>
    </row>
    <row r="121" spans="1:12" x14ac:dyDescent="0.25">
      <c r="A121" s="607" t="s">
        <v>1202</v>
      </c>
      <c r="B121" s="417"/>
      <c r="C121" s="733"/>
      <c r="D121" s="733">
        <v>7663197.0931999991</v>
      </c>
      <c r="E121" s="733">
        <v>7663197.0931999991</v>
      </c>
      <c r="F121" s="733"/>
      <c r="G121" s="733">
        <v>700000</v>
      </c>
      <c r="H121" s="733">
        <f>E121/12*5</f>
        <v>3192998.7888333332</v>
      </c>
      <c r="I121" s="408">
        <f>G121-H121</f>
        <v>-2492998.7888333332</v>
      </c>
      <c r="J121" s="408">
        <f>IF(I121=0,"",I121/H121)</f>
        <v>-0.78077035216923207</v>
      </c>
      <c r="K121" s="735">
        <f>E121</f>
        <v>7663197.0931999991</v>
      </c>
      <c r="L121" s="100"/>
    </row>
    <row r="122" spans="1:12" x14ac:dyDescent="0.25">
      <c r="A122" s="607" t="s">
        <v>1203</v>
      </c>
      <c r="B122" s="417"/>
      <c r="C122" s="733"/>
      <c r="D122" s="733"/>
      <c r="E122" s="733"/>
      <c r="F122" s="733">
        <v>28857.75</v>
      </c>
      <c r="G122" s="733">
        <v>75881.84</v>
      </c>
      <c r="H122" s="733"/>
      <c r="I122" s="408">
        <f t="shared" si="2"/>
        <v>75881.84</v>
      </c>
      <c r="J122" s="408" t="e">
        <f t="shared" si="3"/>
        <v>#DIV/0!</v>
      </c>
      <c r="K122" s="735"/>
      <c r="L122" s="100"/>
    </row>
    <row r="123" spans="1:12" x14ac:dyDescent="0.25">
      <c r="A123" s="607" t="s">
        <v>441</v>
      </c>
      <c r="B123" s="415"/>
      <c r="C123" s="733"/>
      <c r="D123" s="733">
        <v>43456983.997900009</v>
      </c>
      <c r="E123" s="733">
        <v>43456983.997900009</v>
      </c>
      <c r="F123" s="733">
        <v>1552405.32</v>
      </c>
      <c r="G123" s="733">
        <v>8681853.8000000007</v>
      </c>
      <c r="H123" s="733">
        <f>E123/12*5</f>
        <v>18107076.665791672</v>
      </c>
      <c r="I123" s="408">
        <f t="shared" si="2"/>
        <v>-9425222.865791671</v>
      </c>
      <c r="J123" s="408">
        <f t="shared" si="3"/>
        <v>-0.52052703148918733</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2">C6+C26+C75+C99+C118</f>
        <v>0</v>
      </c>
      <c r="D125" s="616">
        <f t="shared" si="32"/>
        <v>6444077682.8720617</v>
      </c>
      <c r="E125" s="616">
        <f t="shared" si="32"/>
        <v>6532699838.8720646</v>
      </c>
      <c r="F125" s="616">
        <f t="shared" si="32"/>
        <v>462051425.97000003</v>
      </c>
      <c r="G125" s="616">
        <f t="shared" si="32"/>
        <v>2571416047.3499999</v>
      </c>
      <c r="H125" s="616">
        <f t="shared" si="32"/>
        <v>2721958266.1966939</v>
      </c>
      <c r="I125" s="616">
        <f>G125-H125</f>
        <v>-150542218.84669399</v>
      </c>
      <c r="J125" s="616">
        <f>IF(I125=0,"",I125/H125)</f>
        <v>-5.5306585966522499E-2</v>
      </c>
      <c r="K125" s="617">
        <f>K6+K26+K75+K99+K118</f>
        <v>6532699838.8720646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3">A6</f>
        <v>Municipal governance and administration</v>
      </c>
      <c r="B128" s="620"/>
      <c r="C128" s="605">
        <f t="shared" ref="C128:H128" si="34">C129+C132+C146</f>
        <v>0</v>
      </c>
      <c r="D128" s="605">
        <f t="shared" si="34"/>
        <v>1354264744.2416518</v>
      </c>
      <c r="E128" s="605">
        <f t="shared" si="34"/>
        <v>1360778764.0330372</v>
      </c>
      <c r="F128" s="605">
        <f t="shared" si="34"/>
        <v>71565754.769999996</v>
      </c>
      <c r="G128" s="605">
        <f t="shared" si="34"/>
        <v>359369600.5</v>
      </c>
      <c r="H128" s="605">
        <f t="shared" si="34"/>
        <v>566991151.68043208</v>
      </c>
      <c r="I128" s="605">
        <f t="shared" ref="I128:I244" si="35">G128-H128</f>
        <v>-207621551.18043208</v>
      </c>
      <c r="J128" s="605">
        <f t="shared" ref="J128:J244" si="36">IF(I128=0,"",I128/H128)</f>
        <v>-0.36618128971693703</v>
      </c>
      <c r="K128" s="606">
        <f>K129+K132+K146</f>
        <v>1360778764.0330372</v>
      </c>
      <c r="L128" s="100"/>
    </row>
    <row r="129" spans="1:12" x14ac:dyDescent="0.25">
      <c r="A129" s="607" t="str">
        <f t="shared" si="33"/>
        <v>Executive and council</v>
      </c>
      <c r="B129" s="620"/>
      <c r="C129" s="608">
        <f t="shared" ref="C129:K129" si="37">SUM(C130:C131)</f>
        <v>0</v>
      </c>
      <c r="D129" s="608">
        <f t="shared" si="37"/>
        <v>137732466.40184778</v>
      </c>
      <c r="E129" s="608">
        <f t="shared" si="37"/>
        <v>143611790.7278536</v>
      </c>
      <c r="F129" s="608">
        <f t="shared" si="37"/>
        <v>8113363.8599999994</v>
      </c>
      <c r="G129" s="608">
        <f t="shared" si="37"/>
        <v>43353818.210000016</v>
      </c>
      <c r="H129" s="608">
        <f t="shared" si="37"/>
        <v>59838246.136605665</v>
      </c>
      <c r="I129" s="608">
        <f t="shared" si="35"/>
        <v>-16484427.926605649</v>
      </c>
      <c r="J129" s="608">
        <f t="shared" si="36"/>
        <v>-0.27548313981283962</v>
      </c>
      <c r="K129" s="610">
        <f t="shared" si="37"/>
        <v>143611790.7278536</v>
      </c>
      <c r="L129" s="100"/>
    </row>
    <row r="130" spans="1:12" x14ac:dyDescent="0.25">
      <c r="A130" s="695" t="str">
        <f t="shared" si="33"/>
        <v>Mayor and Council</v>
      </c>
      <c r="B130" s="620"/>
      <c r="C130" s="733"/>
      <c r="D130" s="733">
        <v>86039675.165266603</v>
      </c>
      <c r="E130" s="733">
        <v>86039675.165266603</v>
      </c>
      <c r="F130" s="733">
        <v>5278589.8499999996</v>
      </c>
      <c r="G130" s="733">
        <v>32826051.030000009</v>
      </c>
      <c r="H130" s="733">
        <f>E130/12*5</f>
        <v>35849864.652194418</v>
      </c>
      <c r="I130" s="408">
        <f t="shared" si="35"/>
        <v>-3023813.6221944094</v>
      </c>
      <c r="J130" s="408">
        <f t="shared" si="36"/>
        <v>-8.4346584053541687E-2</v>
      </c>
      <c r="K130" s="735">
        <f>E130</f>
        <v>86039675.165266603</v>
      </c>
      <c r="L130" s="100"/>
    </row>
    <row r="131" spans="1:12" ht="18.600000000000001" customHeight="1" x14ac:dyDescent="0.25">
      <c r="A131" s="695" t="str">
        <f t="shared" si="33"/>
        <v>Municipal Manager, Town Secretary and Chief Executive</v>
      </c>
      <c r="B131" s="620"/>
      <c r="C131" s="733"/>
      <c r="D131" s="733">
        <v>51692791.236581177</v>
      </c>
      <c r="E131" s="733">
        <v>57572115.562586986</v>
      </c>
      <c r="F131" s="733">
        <v>2834774.01</v>
      </c>
      <c r="G131" s="733">
        <v>10527767.180000005</v>
      </c>
      <c r="H131" s="733">
        <f>E131/12*5</f>
        <v>23988381.484411243</v>
      </c>
      <c r="I131" s="408">
        <f t="shared" si="35"/>
        <v>-13460614.304411238</v>
      </c>
      <c r="J131" s="408">
        <f t="shared" si="36"/>
        <v>-0.56113057536451827</v>
      </c>
      <c r="K131" s="735">
        <f>E131</f>
        <v>57572115.562586986</v>
      </c>
      <c r="L131" s="100"/>
    </row>
    <row r="132" spans="1:12" x14ac:dyDescent="0.25">
      <c r="A132" s="607" t="str">
        <f t="shared" si="33"/>
        <v>Finance and administration</v>
      </c>
      <c r="B132" s="620"/>
      <c r="C132" s="608">
        <f t="shared" ref="C132:H132" si="38">SUM(C133:C145)</f>
        <v>0</v>
      </c>
      <c r="D132" s="608">
        <f t="shared" si="38"/>
        <v>1194545745.0547059</v>
      </c>
      <c r="E132" s="608">
        <f t="shared" si="38"/>
        <v>1195180440.5200856</v>
      </c>
      <c r="F132" s="608">
        <f t="shared" si="38"/>
        <v>62350365.149999991</v>
      </c>
      <c r="G132" s="608">
        <f t="shared" si="38"/>
        <v>310683675.70999998</v>
      </c>
      <c r="H132" s="608">
        <f t="shared" si="38"/>
        <v>497991850.21670228</v>
      </c>
      <c r="I132" s="608">
        <f t="shared" si="35"/>
        <v>-187308174.5067023</v>
      </c>
      <c r="J132" s="608">
        <f t="shared" si="36"/>
        <v>-0.37612698767097236</v>
      </c>
      <c r="K132" s="608">
        <f>SUM(K133:K145)</f>
        <v>1195180440.5200856</v>
      </c>
      <c r="L132" s="100"/>
    </row>
    <row r="133" spans="1:12" x14ac:dyDescent="0.25">
      <c r="A133" s="695" t="str">
        <f t="shared" si="33"/>
        <v>Administrative and Corporate Support</v>
      </c>
      <c r="B133" s="415"/>
      <c r="C133" s="733"/>
      <c r="D133" s="733">
        <v>63311187.597137183</v>
      </c>
      <c r="E133" s="733">
        <v>63311187.597137183</v>
      </c>
      <c r="F133" s="733">
        <v>3730875.11</v>
      </c>
      <c r="G133" s="733">
        <v>21740151.810000014</v>
      </c>
      <c r="H133" s="733">
        <f>E133/12*5</f>
        <v>26379661.498807162</v>
      </c>
      <c r="I133" s="408">
        <f t="shared" si="35"/>
        <v>-4639509.6888071485</v>
      </c>
      <c r="J133" s="408">
        <f t="shared" si="36"/>
        <v>-0.1758744966843846</v>
      </c>
      <c r="K133" s="735">
        <f>E133</f>
        <v>63311187.597137183</v>
      </c>
      <c r="L133" s="100"/>
    </row>
    <row r="134" spans="1:12" x14ac:dyDescent="0.25">
      <c r="A134" s="695" t="str">
        <f t="shared" si="33"/>
        <v>Asset Management</v>
      </c>
      <c r="B134" s="415"/>
      <c r="C134" s="733"/>
      <c r="D134" s="733">
        <v>114851325.40861207</v>
      </c>
      <c r="E134" s="733">
        <v>114851325.40861207</v>
      </c>
      <c r="F134" s="733">
        <v>4627660.120000001</v>
      </c>
      <c r="G134" s="733">
        <v>25031079.09</v>
      </c>
      <c r="H134" s="733">
        <f>E134/12*5</f>
        <v>47854718.920255035</v>
      </c>
      <c r="I134" s="408">
        <f t="shared" si="35"/>
        <v>-22823639.830255035</v>
      </c>
      <c r="J134" s="408">
        <f t="shared" si="36"/>
        <v>-0.47693603358716374</v>
      </c>
      <c r="K134" s="735">
        <f>E134</f>
        <v>114851325.40861207</v>
      </c>
      <c r="L134" s="100"/>
    </row>
    <row r="135" spans="1:12" x14ac:dyDescent="0.25">
      <c r="A135" s="695" t="str">
        <f t="shared" si="33"/>
        <v>Finance</v>
      </c>
      <c r="B135" s="415"/>
      <c r="C135" s="733"/>
      <c r="D135" s="733">
        <v>527291938.10809231</v>
      </c>
      <c r="E135" s="733">
        <v>538222483.81119955</v>
      </c>
      <c r="F135" s="733">
        <v>23672343.039999992</v>
      </c>
      <c r="G135" s="733">
        <v>93860062.219999999</v>
      </c>
      <c r="H135" s="733">
        <f>E135/12*5</f>
        <v>224259368.25466648</v>
      </c>
      <c r="I135" s="408">
        <f t="shared" si="35"/>
        <v>-130399306.03466648</v>
      </c>
      <c r="J135" s="408">
        <f t="shared" si="36"/>
        <v>-0.58146648253546518</v>
      </c>
      <c r="K135" s="735">
        <f>E135</f>
        <v>538222483.81119955</v>
      </c>
      <c r="L135" s="100"/>
    </row>
    <row r="136" spans="1:12" x14ac:dyDescent="0.25">
      <c r="A136" s="695" t="str">
        <f t="shared" si="33"/>
        <v>Fleet Management</v>
      </c>
      <c r="B136" s="415"/>
      <c r="C136" s="733"/>
      <c r="D136" s="733"/>
      <c r="E136" s="733"/>
      <c r="F136" s="733"/>
      <c r="G136" s="733"/>
      <c r="H136" s="733"/>
      <c r="I136" s="408">
        <f t="shared" si="35"/>
        <v>0</v>
      </c>
      <c r="J136" s="408" t="str">
        <f t="shared" si="36"/>
        <v/>
      </c>
      <c r="K136" s="735"/>
      <c r="L136" s="100"/>
    </row>
    <row r="137" spans="1:12" x14ac:dyDescent="0.25">
      <c r="A137" s="695" t="str">
        <f t="shared" si="33"/>
        <v>Human Resources</v>
      </c>
      <c r="B137" s="415"/>
      <c r="C137" s="733"/>
      <c r="D137" s="733">
        <v>167919296.40275738</v>
      </c>
      <c r="E137" s="733">
        <v>167919299.40260589</v>
      </c>
      <c r="F137" s="733">
        <v>4685992.4700000007</v>
      </c>
      <c r="G137" s="733">
        <v>26419256.890000015</v>
      </c>
      <c r="H137" s="733">
        <f>E137/12*5</f>
        <v>69966374.751085788</v>
      </c>
      <c r="I137" s="408">
        <f t="shared" si="35"/>
        <v>-43547117.861085773</v>
      </c>
      <c r="J137" s="408">
        <f t="shared" si="36"/>
        <v>-0.62240066054601428</v>
      </c>
      <c r="K137" s="735">
        <f>E137</f>
        <v>167919299.40260589</v>
      </c>
      <c r="L137" s="100"/>
    </row>
    <row r="138" spans="1:12" x14ac:dyDescent="0.25">
      <c r="A138" s="695" t="str">
        <f t="shared" si="33"/>
        <v>Information Technology</v>
      </c>
      <c r="B138" s="415"/>
      <c r="C138" s="733"/>
      <c r="D138" s="733">
        <v>36645394.820353068</v>
      </c>
      <c r="E138" s="733">
        <v>36645394.820353068</v>
      </c>
      <c r="F138" s="733">
        <v>2765230.4900000007</v>
      </c>
      <c r="G138" s="733">
        <v>15529934.4</v>
      </c>
      <c r="H138" s="733">
        <f>E138/12*5</f>
        <v>15268914.508480446</v>
      </c>
      <c r="I138" s="408">
        <f t="shared" si="35"/>
        <v>261019.89151955396</v>
      </c>
      <c r="J138" s="408">
        <f t="shared" si="36"/>
        <v>1.7094855785234894E-2</v>
      </c>
      <c r="K138" s="735">
        <f>E138</f>
        <v>36645394.820353068</v>
      </c>
      <c r="L138" s="100"/>
    </row>
    <row r="139" spans="1:12" x14ac:dyDescent="0.25">
      <c r="A139" s="695" t="str">
        <f t="shared" si="33"/>
        <v>Legal Services</v>
      </c>
      <c r="B139" s="415"/>
      <c r="C139" s="733"/>
      <c r="D139" s="733">
        <v>11011185.169427564</v>
      </c>
      <c r="E139" s="733">
        <v>11011185.169427564</v>
      </c>
      <c r="F139" s="733">
        <v>964396.14</v>
      </c>
      <c r="G139" s="733">
        <v>4620009.6800000006</v>
      </c>
      <c r="H139" s="733">
        <f>E139/12*5</f>
        <v>4587993.8205948183</v>
      </c>
      <c r="I139" s="408">
        <f t="shared" si="35"/>
        <v>32015.859405182302</v>
      </c>
      <c r="J139" s="408">
        <f t="shared" si="36"/>
        <v>6.978182765083051E-3</v>
      </c>
      <c r="K139" s="735">
        <f>E139</f>
        <v>11011185.169427564</v>
      </c>
      <c r="L139" s="100"/>
    </row>
    <row r="140" spans="1:12" ht="22.5" x14ac:dyDescent="0.25">
      <c r="A140" s="695" t="str">
        <f t="shared" si="33"/>
        <v>Marketing, Customer Relations, Publicity and Media Co-ordination</v>
      </c>
      <c r="B140" s="415"/>
      <c r="C140" s="733"/>
      <c r="D140" s="733">
        <v>20838266.324347999</v>
      </c>
      <c r="E140" s="733">
        <v>20838266.324347999</v>
      </c>
      <c r="F140" s="733">
        <v>1247630.0100000002</v>
      </c>
      <c r="G140" s="733">
        <v>7269463.919999999</v>
      </c>
      <c r="H140" s="733">
        <f>E140/12*5</f>
        <v>8682610.9684783332</v>
      </c>
      <c r="I140" s="408">
        <f t="shared" si="35"/>
        <v>-1413147.0484783342</v>
      </c>
      <c r="J140" s="408">
        <f t="shared" si="36"/>
        <v>-0.16275600203771362</v>
      </c>
      <c r="K140" s="735">
        <f>E140</f>
        <v>20838266.324347999</v>
      </c>
      <c r="L140" s="100"/>
    </row>
    <row r="141" spans="1:12" x14ac:dyDescent="0.25">
      <c r="A141" s="695" t="str">
        <f t="shared" si="33"/>
        <v>Property Services</v>
      </c>
      <c r="B141" s="415"/>
      <c r="C141" s="733"/>
      <c r="D141" s="733">
        <v>57794332.631016083</v>
      </c>
      <c r="E141" s="733">
        <v>57794332.631016083</v>
      </c>
      <c r="F141" s="733">
        <v>4167567.6699999985</v>
      </c>
      <c r="G141" s="733">
        <v>24247428.719999999</v>
      </c>
      <c r="H141" s="733">
        <f>E141/12*5</f>
        <v>24080971.929590035</v>
      </c>
      <c r="I141" s="408">
        <f t="shared" si="35"/>
        <v>166456.79040996358</v>
      </c>
      <c r="J141" s="408">
        <f t="shared" si="36"/>
        <v>6.9123784080087755E-3</v>
      </c>
      <c r="K141" s="735">
        <f>E141</f>
        <v>57794332.631016083</v>
      </c>
      <c r="L141" s="100"/>
    </row>
    <row r="142" spans="1:12" x14ac:dyDescent="0.25">
      <c r="A142" s="695" t="str">
        <f t="shared" si="33"/>
        <v>Risk Management</v>
      </c>
      <c r="B142" s="415"/>
      <c r="C142" s="733"/>
      <c r="D142" s="733"/>
      <c r="E142" s="733"/>
      <c r="F142" s="733"/>
      <c r="G142" s="733"/>
      <c r="H142" s="733"/>
      <c r="I142" s="408">
        <f t="shared" si="35"/>
        <v>0</v>
      </c>
      <c r="J142" s="408" t="str">
        <f t="shared" si="36"/>
        <v/>
      </c>
      <c r="K142" s="735"/>
      <c r="L142" s="100"/>
    </row>
    <row r="143" spans="1:12" x14ac:dyDescent="0.25">
      <c r="A143" s="695" t="str">
        <f t="shared" si="33"/>
        <v>Security Services</v>
      </c>
      <c r="B143" s="415"/>
      <c r="C143" s="733"/>
      <c r="D143" s="733">
        <v>131236960.70425577</v>
      </c>
      <c r="E143" s="733">
        <v>103844216.00984205</v>
      </c>
      <c r="F143" s="733">
        <v>13388020.879999999</v>
      </c>
      <c r="G143" s="733">
        <v>75233903.669999987</v>
      </c>
      <c r="H143" s="733">
        <f>E143/12*5</f>
        <v>43268423.337434188</v>
      </c>
      <c r="I143" s="408">
        <f t="shared" si="35"/>
        <v>31965480.332565799</v>
      </c>
      <c r="J143" s="408">
        <f t="shared" si="36"/>
        <v>0.73877155364037694</v>
      </c>
      <c r="K143" s="735">
        <f>E143</f>
        <v>103844216.00984205</v>
      </c>
      <c r="L143" s="100"/>
    </row>
    <row r="144" spans="1:12" x14ac:dyDescent="0.25">
      <c r="A144" s="695" t="str">
        <f t="shared" si="33"/>
        <v xml:space="preserve">Supply Chain Management </v>
      </c>
      <c r="B144" s="415"/>
      <c r="C144" s="733"/>
      <c r="D144" s="733">
        <v>63645857.888706505</v>
      </c>
      <c r="E144" s="733">
        <v>80742749.34554404</v>
      </c>
      <c r="F144" s="733">
        <v>3100649.2200000007</v>
      </c>
      <c r="G144" s="733">
        <v>16732385.309999999</v>
      </c>
      <c r="H144" s="733">
        <f>E144/12*5</f>
        <v>33642812.227310017</v>
      </c>
      <c r="I144" s="408">
        <f t="shared" si="35"/>
        <v>-16910426.917310018</v>
      </c>
      <c r="J144" s="408">
        <f t="shared" si="36"/>
        <v>-0.50264605714449595</v>
      </c>
      <c r="K144" s="735">
        <f>E144</f>
        <v>80742749.34554404</v>
      </c>
      <c r="L144" s="100"/>
    </row>
    <row r="145" spans="1:12" x14ac:dyDescent="0.25">
      <c r="A145" s="695" t="str">
        <f t="shared" si="33"/>
        <v>Valuation Service</v>
      </c>
      <c r="B145" s="415"/>
      <c r="C145" s="733"/>
      <c r="D145" s="733"/>
      <c r="E145" s="733"/>
      <c r="F145" s="733"/>
      <c r="G145" s="733"/>
      <c r="H145" s="733"/>
      <c r="I145" s="408">
        <f t="shared" si="35"/>
        <v>0</v>
      </c>
      <c r="J145" s="408" t="str">
        <f t="shared" si="36"/>
        <v/>
      </c>
      <c r="K145" s="735"/>
      <c r="L145" s="100"/>
    </row>
    <row r="146" spans="1:12" x14ac:dyDescent="0.25">
      <c r="A146" s="607" t="str">
        <f t="shared" si="33"/>
        <v>Internal audit</v>
      </c>
      <c r="B146" s="620"/>
      <c r="C146" s="608">
        <f t="shared" ref="C146:H146" si="39">SUM(C147:C147)</f>
        <v>0</v>
      </c>
      <c r="D146" s="608">
        <f t="shared" si="39"/>
        <v>21986532.785097998</v>
      </c>
      <c r="E146" s="608">
        <f t="shared" si="39"/>
        <v>21986532.785097998</v>
      </c>
      <c r="F146" s="608">
        <f t="shared" si="39"/>
        <v>1102025.7600000002</v>
      </c>
      <c r="G146" s="608">
        <f t="shared" si="39"/>
        <v>5332106.5800000019</v>
      </c>
      <c r="H146" s="608">
        <f t="shared" si="39"/>
        <v>9161055.3271241654</v>
      </c>
      <c r="I146" s="608">
        <f t="shared" si="35"/>
        <v>-3828948.7471241634</v>
      </c>
      <c r="J146" s="608">
        <f t="shared" si="36"/>
        <v>-0.4179593518868252</v>
      </c>
      <c r="K146" s="610">
        <f>SUM(K147:K147)</f>
        <v>21986532.785097998</v>
      </c>
      <c r="L146" s="100"/>
    </row>
    <row r="147" spans="1:12" x14ac:dyDescent="0.25">
      <c r="A147" s="695" t="str">
        <f t="shared" si="33"/>
        <v>Governance Function</v>
      </c>
      <c r="B147" s="620"/>
      <c r="C147" s="733"/>
      <c r="D147" s="733">
        <v>21986532.785097998</v>
      </c>
      <c r="E147" s="733">
        <v>21986532.785097998</v>
      </c>
      <c r="F147" s="733">
        <v>1102025.7600000002</v>
      </c>
      <c r="G147" s="733">
        <v>5332106.5800000019</v>
      </c>
      <c r="H147" s="733">
        <f>E147/12*5</f>
        <v>9161055.3271241654</v>
      </c>
      <c r="I147" s="408">
        <f t="shared" si="35"/>
        <v>-3828948.7471241634</v>
      </c>
      <c r="J147" s="408">
        <f t="shared" si="36"/>
        <v>-0.4179593518868252</v>
      </c>
      <c r="K147" s="735">
        <f>E147</f>
        <v>21986532.785097998</v>
      </c>
      <c r="L147" s="100"/>
    </row>
    <row r="148" spans="1:12" x14ac:dyDescent="0.25">
      <c r="A148" s="414" t="str">
        <f t="shared" si="33"/>
        <v>Community and public safety</v>
      </c>
      <c r="B148" s="620"/>
      <c r="C148" s="605">
        <f t="shared" ref="C148:H148" si="40">C149+C171+C177+C186+C189</f>
        <v>0</v>
      </c>
      <c r="D148" s="605">
        <f t="shared" si="40"/>
        <v>425554819.64787257</v>
      </c>
      <c r="E148" s="605">
        <f t="shared" si="40"/>
        <v>473667727.71673155</v>
      </c>
      <c r="F148" s="605">
        <f t="shared" si="40"/>
        <v>44507986.320000008</v>
      </c>
      <c r="G148" s="605">
        <f t="shared" si="40"/>
        <v>236479439.49000004</v>
      </c>
      <c r="H148" s="605">
        <f t="shared" si="40"/>
        <v>197361553.21530482</v>
      </c>
      <c r="I148" s="605">
        <f t="shared" si="35"/>
        <v>39117886.274695218</v>
      </c>
      <c r="J148" s="605">
        <f t="shared" si="36"/>
        <v>0.19820418737797882</v>
      </c>
      <c r="K148" s="606">
        <f>K149+K171+K177+K186+K189</f>
        <v>473667727.71673155</v>
      </c>
      <c r="L148" s="100"/>
    </row>
    <row r="149" spans="1:12" x14ac:dyDescent="0.25">
      <c r="A149" s="607" t="str">
        <f t="shared" si="33"/>
        <v>Community and social services</v>
      </c>
      <c r="B149" s="620"/>
      <c r="C149" s="611">
        <f t="shared" ref="C149:H149" si="41">SUM(C150:C170)</f>
        <v>0</v>
      </c>
      <c r="D149" s="611">
        <f t="shared" si="41"/>
        <v>128373725.79885694</v>
      </c>
      <c r="E149" s="611">
        <f t="shared" si="41"/>
        <v>128373725.79885694</v>
      </c>
      <c r="F149" s="611">
        <f t="shared" si="41"/>
        <v>11378432.360000001</v>
      </c>
      <c r="G149" s="611">
        <f t="shared" si="41"/>
        <v>71370489.390000001</v>
      </c>
      <c r="H149" s="611">
        <f t="shared" si="41"/>
        <v>53489052.416190393</v>
      </c>
      <c r="I149" s="611">
        <f t="shared" si="35"/>
        <v>17881436.973809607</v>
      </c>
      <c r="J149" s="611">
        <f t="shared" si="36"/>
        <v>0.33430087403076042</v>
      </c>
      <c r="K149" s="614">
        <f>SUM(K150:K170)</f>
        <v>128373725.79885694</v>
      </c>
      <c r="L149" s="100"/>
    </row>
    <row r="150" spans="1:12" x14ac:dyDescent="0.25">
      <c r="A150" s="695" t="str">
        <f t="shared" si="33"/>
        <v>Aged Care</v>
      </c>
      <c r="B150" s="620"/>
      <c r="C150" s="733"/>
      <c r="D150" s="733">
        <v>4431.0612499999997</v>
      </c>
      <c r="E150" s="733">
        <v>4431.0612499999997</v>
      </c>
      <c r="F150" s="733">
        <v>47.21</v>
      </c>
      <c r="G150" s="733">
        <v>240.37</v>
      </c>
      <c r="H150" s="733">
        <f>E150/12*5</f>
        <v>1846.2755208333331</v>
      </c>
      <c r="I150" s="408">
        <f t="shared" si="35"/>
        <v>-1605.905520833333</v>
      </c>
      <c r="J150" s="408">
        <f t="shared" si="36"/>
        <v>-0.86980816390204485</v>
      </c>
      <c r="K150" s="735">
        <f>E150</f>
        <v>4431.0612499999997</v>
      </c>
      <c r="L150" s="100"/>
    </row>
    <row r="151" spans="1:12" x14ac:dyDescent="0.25">
      <c r="A151" s="695" t="str">
        <f t="shared" si="33"/>
        <v>Agricultural</v>
      </c>
      <c r="B151" s="620"/>
      <c r="C151" s="733"/>
      <c r="D151" s="733"/>
      <c r="E151" s="733"/>
      <c r="F151" s="733"/>
      <c r="G151" s="733"/>
      <c r="H151" s="733"/>
      <c r="I151" s="408">
        <f t="shared" si="35"/>
        <v>0</v>
      </c>
      <c r="J151" s="408" t="str">
        <f t="shared" si="36"/>
        <v/>
      </c>
      <c r="K151" s="735"/>
      <c r="L151" s="100"/>
    </row>
    <row r="152" spans="1:12" x14ac:dyDescent="0.25">
      <c r="A152" s="695" t="str">
        <f t="shared" si="33"/>
        <v>Animal Care and Diseases</v>
      </c>
      <c r="B152" s="620"/>
      <c r="C152" s="733"/>
      <c r="D152" s="733">
        <v>982940.46</v>
      </c>
      <c r="E152" s="733">
        <v>982940.46</v>
      </c>
      <c r="F152" s="733"/>
      <c r="G152" s="733">
        <v>453499.64</v>
      </c>
      <c r="H152" s="733">
        <f>E152/12*5</f>
        <v>409558.52500000002</v>
      </c>
      <c r="I152" s="408">
        <f t="shared" si="35"/>
        <v>43941.114999999991</v>
      </c>
      <c r="J152" s="408">
        <f t="shared" si="36"/>
        <v>0.10728897658765615</v>
      </c>
      <c r="K152" s="735">
        <f>E152</f>
        <v>982940.46</v>
      </c>
      <c r="L152" s="100"/>
    </row>
    <row r="153" spans="1:12" ht="22.5" x14ac:dyDescent="0.25">
      <c r="A153" s="695" t="str">
        <f t="shared" si="33"/>
        <v>Cemeteries, Funeral Parlours and Crematoriums</v>
      </c>
      <c r="B153" s="620"/>
      <c r="C153" s="733"/>
      <c r="D153" s="733">
        <v>26579168.830668706</v>
      </c>
      <c r="E153" s="733">
        <v>26579168.830668706</v>
      </c>
      <c r="F153" s="733">
        <v>2025911.0500000005</v>
      </c>
      <c r="G153" s="733">
        <v>11396120.899999995</v>
      </c>
      <c r="H153" s="733">
        <f>E153/12*5</f>
        <v>11074653.679445295</v>
      </c>
      <c r="I153" s="408">
        <f t="shared" si="35"/>
        <v>321467.22055470012</v>
      </c>
      <c r="J153" s="408">
        <f t="shared" si="36"/>
        <v>2.9027293300498198E-2</v>
      </c>
      <c r="K153" s="735">
        <f>E153</f>
        <v>26579168.830668706</v>
      </c>
      <c r="L153" s="100"/>
    </row>
    <row r="154" spans="1:12" x14ac:dyDescent="0.25">
      <c r="A154" s="695" t="str">
        <f t="shared" si="33"/>
        <v>Child Care Facilities</v>
      </c>
      <c r="B154" s="620"/>
      <c r="C154" s="733"/>
      <c r="D154" s="733"/>
      <c r="E154" s="733"/>
      <c r="F154" s="733"/>
      <c r="G154" s="733"/>
      <c r="H154" s="733"/>
      <c r="I154" s="408">
        <f t="shared" si="35"/>
        <v>0</v>
      </c>
      <c r="J154" s="408" t="str">
        <f t="shared" si="36"/>
        <v/>
      </c>
      <c r="K154" s="735"/>
      <c r="L154" s="100"/>
    </row>
    <row r="155" spans="1:12" x14ac:dyDescent="0.25">
      <c r="A155" s="695" t="str">
        <f t="shared" si="33"/>
        <v>Community Halls and Facilities</v>
      </c>
      <c r="B155" s="620"/>
      <c r="C155" s="733"/>
      <c r="D155" s="733">
        <v>15746961.964834005</v>
      </c>
      <c r="E155" s="733">
        <v>15746961.964834005</v>
      </c>
      <c r="F155" s="733">
        <v>2927565.2199999997</v>
      </c>
      <c r="G155" s="733">
        <v>26763437.260000002</v>
      </c>
      <c r="H155" s="733">
        <f>E155/12*5</f>
        <v>6561234.152014168</v>
      </c>
      <c r="I155" s="408">
        <f t="shared" si="35"/>
        <v>20202203.107985832</v>
      </c>
      <c r="J155" s="408">
        <f t="shared" si="36"/>
        <v>3.079024866348377</v>
      </c>
      <c r="K155" s="735">
        <f>E155</f>
        <v>15746961.964834005</v>
      </c>
      <c r="L155" s="100"/>
    </row>
    <row r="156" spans="1:12" x14ac:dyDescent="0.25">
      <c r="A156" s="695" t="str">
        <f t="shared" si="33"/>
        <v>Consumer Protection</v>
      </c>
      <c r="B156" s="620"/>
      <c r="C156" s="733"/>
      <c r="D156" s="733"/>
      <c r="E156" s="733"/>
      <c r="F156" s="733"/>
      <c r="G156" s="733"/>
      <c r="H156" s="733"/>
      <c r="I156" s="408">
        <f t="shared" si="35"/>
        <v>0</v>
      </c>
      <c r="J156" s="408" t="str">
        <f t="shared" si="36"/>
        <v/>
      </c>
      <c r="K156" s="735"/>
      <c r="L156" s="100"/>
    </row>
    <row r="157" spans="1:12" x14ac:dyDescent="0.25">
      <c r="A157" s="695" t="str">
        <f t="shared" si="33"/>
        <v>Cultural Matters</v>
      </c>
      <c r="B157" s="620"/>
      <c r="C157" s="733"/>
      <c r="D157" s="733"/>
      <c r="E157" s="733"/>
      <c r="F157" s="733"/>
      <c r="G157" s="733"/>
      <c r="H157" s="733"/>
      <c r="I157" s="408">
        <f>G157-H157</f>
        <v>0</v>
      </c>
      <c r="J157" s="408" t="str">
        <f>IF(I157=0,"",I157/H157)</f>
        <v/>
      </c>
      <c r="K157" s="735"/>
      <c r="L157" s="100"/>
    </row>
    <row r="158" spans="1:12" x14ac:dyDescent="0.25">
      <c r="A158" s="695" t="str">
        <f t="shared" si="33"/>
        <v>Disaster Management</v>
      </c>
      <c r="B158" s="620"/>
      <c r="C158" s="733"/>
      <c r="D158" s="733"/>
      <c r="E158" s="733"/>
      <c r="F158" s="733"/>
      <c r="G158" s="733"/>
      <c r="H158" s="733"/>
      <c r="I158" s="408">
        <f>G158-H158</f>
        <v>0</v>
      </c>
      <c r="J158" s="408" t="str">
        <f>IF(I158=0,"",I158/H158)</f>
        <v/>
      </c>
      <c r="K158" s="735"/>
      <c r="L158" s="100"/>
    </row>
    <row r="159" spans="1:12" x14ac:dyDescent="0.25">
      <c r="A159" s="695" t="str">
        <f t="shared" si="33"/>
        <v>Education</v>
      </c>
      <c r="B159" s="620"/>
      <c r="C159" s="733"/>
      <c r="D159" s="733"/>
      <c r="E159" s="733"/>
      <c r="F159" s="733"/>
      <c r="G159" s="733"/>
      <c r="H159" s="733"/>
      <c r="I159" s="408">
        <f t="shared" ref="I159:I164" si="42">G159-H159</f>
        <v>0</v>
      </c>
      <c r="J159" s="408" t="str">
        <f t="shared" ref="J159:J164" si="43">IF(I159=0,"",I159/H159)</f>
        <v/>
      </c>
      <c r="K159" s="735"/>
      <c r="L159" s="100"/>
    </row>
    <row r="160" spans="1:12" x14ac:dyDescent="0.25">
      <c r="A160" s="695" t="str">
        <f t="shared" ref="A160:A191" si="44">A38</f>
        <v>Indigenous and Customary Law</v>
      </c>
      <c r="B160" s="620"/>
      <c r="C160" s="733"/>
      <c r="D160" s="733"/>
      <c r="E160" s="733"/>
      <c r="F160" s="733"/>
      <c r="G160" s="733"/>
      <c r="H160" s="733"/>
      <c r="I160" s="408">
        <f t="shared" si="42"/>
        <v>0</v>
      </c>
      <c r="J160" s="408" t="str">
        <f t="shared" si="43"/>
        <v/>
      </c>
      <c r="K160" s="735"/>
      <c r="L160" s="100"/>
    </row>
    <row r="161" spans="1:12" x14ac:dyDescent="0.25">
      <c r="A161" s="695" t="str">
        <f t="shared" si="44"/>
        <v>Industrial Promotion</v>
      </c>
      <c r="B161" s="620"/>
      <c r="C161" s="733"/>
      <c r="D161" s="733"/>
      <c r="E161" s="733"/>
      <c r="F161" s="733"/>
      <c r="G161" s="733"/>
      <c r="H161" s="733"/>
      <c r="I161" s="408">
        <f t="shared" si="42"/>
        <v>0</v>
      </c>
      <c r="J161" s="408" t="str">
        <f t="shared" si="43"/>
        <v/>
      </c>
      <c r="K161" s="735"/>
      <c r="L161" s="100"/>
    </row>
    <row r="162" spans="1:12" x14ac:dyDescent="0.25">
      <c r="A162" s="695" t="str">
        <f t="shared" si="44"/>
        <v>Language Policy</v>
      </c>
      <c r="B162" s="620"/>
      <c r="C162" s="733"/>
      <c r="D162" s="733"/>
      <c r="E162" s="733"/>
      <c r="F162" s="733"/>
      <c r="G162" s="733"/>
      <c r="H162" s="733"/>
      <c r="I162" s="408">
        <f t="shared" si="42"/>
        <v>0</v>
      </c>
      <c r="J162" s="408" t="str">
        <f t="shared" si="43"/>
        <v/>
      </c>
      <c r="K162" s="735"/>
      <c r="L162" s="100"/>
    </row>
    <row r="163" spans="1:12" x14ac:dyDescent="0.25">
      <c r="A163" s="695" t="str">
        <f t="shared" si="44"/>
        <v>Libraries and Archives</v>
      </c>
      <c r="B163" s="620"/>
      <c r="C163" s="733"/>
      <c r="D163" s="733">
        <v>68987451.478751421</v>
      </c>
      <c r="E163" s="733">
        <v>68987451.478751421</v>
      </c>
      <c r="F163" s="733">
        <v>5493044.9099999992</v>
      </c>
      <c r="G163" s="733">
        <v>27931541.690000001</v>
      </c>
      <c r="H163" s="733">
        <f>E163/12*5</f>
        <v>28744771.449479759</v>
      </c>
      <c r="I163" s="408">
        <f t="shared" si="42"/>
        <v>-813229.7594797574</v>
      </c>
      <c r="J163" s="408">
        <f t="shared" si="43"/>
        <v>-2.8291397651536234E-2</v>
      </c>
      <c r="K163" s="735">
        <f>E163</f>
        <v>68987451.478751421</v>
      </c>
      <c r="L163" s="100"/>
    </row>
    <row r="164" spans="1:12" x14ac:dyDescent="0.25">
      <c r="A164" s="695" t="str">
        <f t="shared" si="44"/>
        <v>Literacy Programmes</v>
      </c>
      <c r="B164" s="620"/>
      <c r="C164" s="733"/>
      <c r="D164" s="733"/>
      <c r="E164" s="733"/>
      <c r="F164" s="733"/>
      <c r="G164" s="733"/>
      <c r="H164" s="733"/>
      <c r="I164" s="408">
        <f t="shared" si="42"/>
        <v>0</v>
      </c>
      <c r="J164" s="408" t="str">
        <f t="shared" si="43"/>
        <v/>
      </c>
      <c r="K164" s="735"/>
      <c r="L164" s="100"/>
    </row>
    <row r="165" spans="1:12" x14ac:dyDescent="0.25">
      <c r="A165" s="695" t="str">
        <f t="shared" si="44"/>
        <v>Media Services</v>
      </c>
      <c r="B165" s="620"/>
      <c r="C165" s="733"/>
      <c r="D165" s="733"/>
      <c r="E165" s="733"/>
      <c r="F165" s="733"/>
      <c r="G165" s="733"/>
      <c r="H165" s="733"/>
      <c r="I165" s="408">
        <f t="shared" si="35"/>
        <v>0</v>
      </c>
      <c r="J165" s="408" t="str">
        <f t="shared" si="36"/>
        <v/>
      </c>
      <c r="K165" s="735"/>
      <c r="L165" s="100"/>
    </row>
    <row r="166" spans="1:12" x14ac:dyDescent="0.25">
      <c r="A166" s="695" t="str">
        <f t="shared" si="44"/>
        <v>Museums and Art Galleries</v>
      </c>
      <c r="B166" s="620"/>
      <c r="C166" s="733"/>
      <c r="D166" s="733">
        <v>7907722.2016169671</v>
      </c>
      <c r="E166" s="733">
        <v>7907722.2016169671</v>
      </c>
      <c r="F166" s="733">
        <v>541947.49999999988</v>
      </c>
      <c r="G166" s="733">
        <v>2578985.0400000005</v>
      </c>
      <c r="H166" s="733">
        <f>E166/12*5</f>
        <v>3294884.250673736</v>
      </c>
      <c r="I166" s="408">
        <f t="shared" si="35"/>
        <v>-715899.21067373548</v>
      </c>
      <c r="J166" s="408">
        <f t="shared" si="36"/>
        <v>-0.21727598185804214</v>
      </c>
      <c r="K166" s="735">
        <f>E166</f>
        <v>7907722.2016169671</v>
      </c>
      <c r="L166" s="100"/>
    </row>
    <row r="167" spans="1:12" x14ac:dyDescent="0.25">
      <c r="A167" s="695" t="str">
        <f t="shared" si="44"/>
        <v>Population Development</v>
      </c>
      <c r="B167" s="620"/>
      <c r="C167" s="733"/>
      <c r="D167" s="733">
        <v>8165049.8017358435</v>
      </c>
      <c r="E167" s="733">
        <v>8165049.8017358435</v>
      </c>
      <c r="F167" s="733">
        <v>389379.14999999997</v>
      </c>
      <c r="G167" s="733">
        <v>2243977.89</v>
      </c>
      <c r="H167" s="733">
        <f>E167/12*5</f>
        <v>3402104.0840566014</v>
      </c>
      <c r="I167" s="408">
        <f t="shared" si="35"/>
        <v>-1158126.1940566013</v>
      </c>
      <c r="J167" s="408">
        <f t="shared" si="36"/>
        <v>-0.34041468615965287</v>
      </c>
      <c r="K167" s="735">
        <f>E167</f>
        <v>8165049.8017358435</v>
      </c>
      <c r="L167" s="100"/>
    </row>
    <row r="168" spans="1:12" x14ac:dyDescent="0.25">
      <c r="A168" s="695" t="str">
        <f t="shared" si="44"/>
        <v>Provincial Cultural Matters</v>
      </c>
      <c r="B168" s="620"/>
      <c r="C168" s="733"/>
      <c r="D168" s="733"/>
      <c r="E168" s="733"/>
      <c r="F168" s="733"/>
      <c r="G168" s="733"/>
      <c r="H168" s="733"/>
      <c r="I168" s="408">
        <f t="shared" si="35"/>
        <v>0</v>
      </c>
      <c r="J168" s="408" t="str">
        <f t="shared" si="36"/>
        <v/>
      </c>
      <c r="K168" s="735"/>
      <c r="L168" s="100"/>
    </row>
    <row r="169" spans="1:12" x14ac:dyDescent="0.25">
      <c r="A169" s="695" t="str">
        <f t="shared" si="44"/>
        <v>Theatres</v>
      </c>
      <c r="B169" s="620"/>
      <c r="C169" s="733"/>
      <c r="D169" s="733"/>
      <c r="E169" s="733"/>
      <c r="F169" s="733">
        <v>537.32000000000005</v>
      </c>
      <c r="G169" s="733">
        <v>2686.6000000000004</v>
      </c>
      <c r="H169" s="733"/>
      <c r="I169" s="408">
        <f t="shared" si="35"/>
        <v>2686.6000000000004</v>
      </c>
      <c r="J169" s="408" t="e">
        <f t="shared" si="36"/>
        <v>#DIV/0!</v>
      </c>
      <c r="K169" s="735"/>
      <c r="L169" s="100"/>
    </row>
    <row r="170" spans="1:12" x14ac:dyDescent="0.25">
      <c r="A170" s="695" t="str">
        <f t="shared" si="44"/>
        <v>Zoo's</v>
      </c>
      <c r="B170" s="620"/>
      <c r="C170" s="733"/>
      <c r="D170" s="733"/>
      <c r="E170" s="733"/>
      <c r="F170" s="733"/>
      <c r="G170" s="733"/>
      <c r="H170" s="733"/>
      <c r="I170" s="408">
        <f t="shared" si="35"/>
        <v>0</v>
      </c>
      <c r="J170" s="408" t="str">
        <f t="shared" si="36"/>
        <v/>
      </c>
      <c r="K170" s="735"/>
      <c r="L170" s="100"/>
    </row>
    <row r="171" spans="1:12" x14ac:dyDescent="0.25">
      <c r="A171" s="607" t="str">
        <f t="shared" si="44"/>
        <v>Sport and recreation</v>
      </c>
      <c r="B171" s="620"/>
      <c r="C171" s="611">
        <f t="shared" ref="C171:K171" si="45">SUM(C172:C176)</f>
        <v>0</v>
      </c>
      <c r="D171" s="611">
        <f t="shared" si="45"/>
        <v>114418472.68896006</v>
      </c>
      <c r="E171" s="611">
        <f t="shared" si="45"/>
        <v>114418472.68896006</v>
      </c>
      <c r="F171" s="611">
        <f t="shared" si="45"/>
        <v>10419409.650000002</v>
      </c>
      <c r="G171" s="611">
        <f t="shared" si="45"/>
        <v>51239149.390000015</v>
      </c>
      <c r="H171" s="611">
        <f t="shared" si="45"/>
        <v>47674363.620400026</v>
      </c>
      <c r="I171" s="611">
        <f t="shared" ref="I171:I176" si="46">G171-H171</f>
        <v>3564785.7695999891</v>
      </c>
      <c r="J171" s="611">
        <f t="shared" ref="J171:J176" si="47">IF(I171=0,"",I171/H171)</f>
        <v>7.4773641405768129E-2</v>
      </c>
      <c r="K171" s="614">
        <f t="shared" si="45"/>
        <v>114418472.68896006</v>
      </c>
      <c r="L171" s="100"/>
    </row>
    <row r="172" spans="1:12" x14ac:dyDescent="0.25">
      <c r="A172" s="695" t="str">
        <f t="shared" si="44"/>
        <v xml:space="preserve">Beaches and Jetties </v>
      </c>
      <c r="B172" s="620"/>
      <c r="C172" s="733"/>
      <c r="D172" s="733"/>
      <c r="E172" s="733"/>
      <c r="F172" s="733"/>
      <c r="G172" s="733"/>
      <c r="H172" s="733"/>
      <c r="I172" s="408">
        <f t="shared" si="46"/>
        <v>0</v>
      </c>
      <c r="J172" s="408" t="str">
        <f t="shared" si="47"/>
        <v/>
      </c>
      <c r="K172" s="735"/>
      <c r="L172" s="100"/>
    </row>
    <row r="173" spans="1:12" x14ac:dyDescent="0.25">
      <c r="A173" s="695" t="str">
        <f t="shared" si="44"/>
        <v>Casinos, Racing, Gambling, Wagering</v>
      </c>
      <c r="B173" s="620"/>
      <c r="C173" s="733"/>
      <c r="D173" s="733"/>
      <c r="E173" s="733"/>
      <c r="F173" s="733"/>
      <c r="G173" s="733"/>
      <c r="H173" s="733"/>
      <c r="I173" s="408">
        <f t="shared" si="46"/>
        <v>0</v>
      </c>
      <c r="J173" s="408" t="str">
        <f t="shared" si="47"/>
        <v/>
      </c>
      <c r="K173" s="735"/>
      <c r="L173" s="100"/>
    </row>
    <row r="174" spans="1:12" x14ac:dyDescent="0.25">
      <c r="A174" s="695" t="str">
        <f t="shared" si="44"/>
        <v>Community Parks (including Nurseries)</v>
      </c>
      <c r="B174" s="620"/>
      <c r="C174" s="733"/>
      <c r="D174" s="733">
        <v>48114791.713263765</v>
      </c>
      <c r="E174" s="733">
        <v>48114791.713263765</v>
      </c>
      <c r="F174" s="733">
        <v>4626337.9400000032</v>
      </c>
      <c r="G174" s="733">
        <v>21377600.410000004</v>
      </c>
      <c r="H174" s="733">
        <f>E174/12*5</f>
        <v>20047829.880526569</v>
      </c>
      <c r="I174" s="408">
        <f t="shared" si="46"/>
        <v>1329770.5294734351</v>
      </c>
      <c r="J174" s="408">
        <f t="shared" si="47"/>
        <v>6.6329898916645633E-2</v>
      </c>
      <c r="K174" s="735">
        <f>E174</f>
        <v>48114791.713263765</v>
      </c>
      <c r="L174" s="100"/>
    </row>
    <row r="175" spans="1:12" x14ac:dyDescent="0.25">
      <c r="A175" s="695" t="str">
        <f t="shared" si="44"/>
        <v>Recreational Facilities</v>
      </c>
      <c r="B175" s="620"/>
      <c r="C175" s="733"/>
      <c r="D175" s="733">
        <v>66303680.975696295</v>
      </c>
      <c r="E175" s="733">
        <v>66303680.975696295</v>
      </c>
      <c r="F175" s="733">
        <v>5793071.71</v>
      </c>
      <c r="G175" s="733">
        <v>29861548.980000012</v>
      </c>
      <c r="H175" s="733">
        <f>E175/12*5</f>
        <v>27626533.739873454</v>
      </c>
      <c r="I175" s="408">
        <f t="shared" si="46"/>
        <v>2235015.2401265576</v>
      </c>
      <c r="J175" s="408">
        <f t="shared" si="47"/>
        <v>8.0901037429127562E-2</v>
      </c>
      <c r="K175" s="735">
        <f>E175</f>
        <v>66303680.975696295</v>
      </c>
      <c r="L175" s="100"/>
    </row>
    <row r="176" spans="1:12" x14ac:dyDescent="0.25">
      <c r="A176" s="695" t="str">
        <f t="shared" si="44"/>
        <v>Sports Grounds and Stadiums</v>
      </c>
      <c r="B176" s="620"/>
      <c r="C176" s="733"/>
      <c r="D176" s="733"/>
      <c r="E176" s="733"/>
      <c r="F176" s="733"/>
      <c r="G176" s="733"/>
      <c r="H176" s="733"/>
      <c r="I176" s="408">
        <f t="shared" si="46"/>
        <v>0</v>
      </c>
      <c r="J176" s="408" t="str">
        <f t="shared" si="47"/>
        <v/>
      </c>
      <c r="K176" s="735"/>
      <c r="L176" s="100"/>
    </row>
    <row r="177" spans="1:12" x14ac:dyDescent="0.25">
      <c r="A177" s="607" t="str">
        <f t="shared" si="44"/>
        <v>Public safety</v>
      </c>
      <c r="B177" s="620"/>
      <c r="C177" s="611">
        <f t="shared" ref="C177:K177" si="48">SUM(C178:C185)</f>
        <v>0</v>
      </c>
      <c r="D177" s="611">
        <f t="shared" si="48"/>
        <v>92358887.770319864</v>
      </c>
      <c r="E177" s="611">
        <f t="shared" si="48"/>
        <v>140471795.83917889</v>
      </c>
      <c r="F177" s="611">
        <f t="shared" si="48"/>
        <v>16916268.299999997</v>
      </c>
      <c r="G177" s="611">
        <f t="shared" si="48"/>
        <v>81345682.080000013</v>
      </c>
      <c r="H177" s="611">
        <f t="shared" si="48"/>
        <v>58529914.932991207</v>
      </c>
      <c r="I177" s="611">
        <f t="shared" si="35"/>
        <v>22815767.147008806</v>
      </c>
      <c r="J177" s="611">
        <f t="shared" si="36"/>
        <v>0.38981377596618338</v>
      </c>
      <c r="K177" s="614">
        <f t="shared" si="48"/>
        <v>140471795.83917889</v>
      </c>
      <c r="L177" s="100"/>
    </row>
    <row r="178" spans="1:12" x14ac:dyDescent="0.25">
      <c r="A178" s="695" t="str">
        <f t="shared" si="44"/>
        <v>Civil Defence</v>
      </c>
      <c r="B178" s="620"/>
      <c r="C178" s="733"/>
      <c r="D178" s="733">
        <v>12197113.976451974</v>
      </c>
      <c r="E178" s="733">
        <v>12197113.976451974</v>
      </c>
      <c r="F178" s="733">
        <v>3424346.83</v>
      </c>
      <c r="G178" s="733">
        <v>6750173</v>
      </c>
      <c r="H178" s="733">
        <f>E178/12*5</f>
        <v>5082130.823521656</v>
      </c>
      <c r="I178" s="408">
        <f t="shared" si="35"/>
        <v>1668042.176478344</v>
      </c>
      <c r="J178" s="408">
        <f t="shared" si="36"/>
        <v>0.32821708735991889</v>
      </c>
      <c r="K178" s="735">
        <f>E178</f>
        <v>12197113.976451974</v>
      </c>
      <c r="L178" s="100"/>
    </row>
    <row r="179" spans="1:12" x14ac:dyDescent="0.25">
      <c r="A179" s="695" t="str">
        <f t="shared" si="44"/>
        <v>Cleansing</v>
      </c>
      <c r="B179" s="620"/>
      <c r="C179" s="733"/>
      <c r="D179" s="733"/>
      <c r="E179" s="733"/>
      <c r="F179" s="733"/>
      <c r="G179" s="733"/>
      <c r="H179" s="733"/>
      <c r="I179" s="408">
        <f t="shared" si="35"/>
        <v>0</v>
      </c>
      <c r="J179" s="408" t="str">
        <f t="shared" si="36"/>
        <v/>
      </c>
      <c r="K179" s="735"/>
      <c r="L179" s="100"/>
    </row>
    <row r="180" spans="1:12" x14ac:dyDescent="0.25">
      <c r="A180" s="695" t="str">
        <f t="shared" si="44"/>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44"/>
        <v xml:space="preserve">Fencing and Fences </v>
      </c>
      <c r="B181" s="620"/>
      <c r="C181" s="733"/>
      <c r="D181" s="733"/>
      <c r="E181" s="733"/>
      <c r="F181" s="733"/>
      <c r="G181" s="733"/>
      <c r="H181" s="733"/>
      <c r="I181" s="408">
        <f t="shared" si="35"/>
        <v>0</v>
      </c>
      <c r="J181" s="408" t="str">
        <f t="shared" si="36"/>
        <v/>
      </c>
      <c r="K181" s="735"/>
      <c r="L181" s="100"/>
    </row>
    <row r="182" spans="1:12" x14ac:dyDescent="0.25">
      <c r="A182" s="695" t="str">
        <f t="shared" si="44"/>
        <v>Fire Fighting and Protection</v>
      </c>
      <c r="B182" s="620"/>
      <c r="C182" s="733"/>
      <c r="D182" s="733">
        <v>80161773.793867886</v>
      </c>
      <c r="E182" s="733">
        <v>128274681.86272691</v>
      </c>
      <c r="F182" s="733">
        <v>7669435.7699999986</v>
      </c>
      <c r="G182" s="733">
        <v>43404476.590000011</v>
      </c>
      <c r="H182" s="733">
        <f>E182/12*5</f>
        <v>53447784.109469548</v>
      </c>
      <c r="I182" s="408">
        <f t="shared" si="35"/>
        <v>-10043307.519469537</v>
      </c>
      <c r="J182" s="408">
        <f t="shared" si="36"/>
        <v>-0.18790877277342777</v>
      </c>
      <c r="K182" s="735">
        <f>E182</f>
        <v>128274681.86272691</v>
      </c>
      <c r="L182" s="100"/>
    </row>
    <row r="183" spans="1:12" x14ac:dyDescent="0.25">
      <c r="A183" s="695" t="str">
        <f t="shared" si="44"/>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44"/>
        <v>Police Forces, Traffic and Street Parking Control</v>
      </c>
      <c r="B184" s="620"/>
      <c r="C184" s="733"/>
      <c r="D184" s="733"/>
      <c r="E184" s="733"/>
      <c r="F184" s="733">
        <v>5822485.6999999993</v>
      </c>
      <c r="G184" s="733">
        <v>31191032.490000002</v>
      </c>
      <c r="H184" s="733"/>
      <c r="I184" s="408">
        <f>G184-H184</f>
        <v>31191032.490000002</v>
      </c>
      <c r="J184" s="408" t="e">
        <f>IF(I184=0,"",I184/H184)</f>
        <v>#DIV/0!</v>
      </c>
      <c r="K184" s="735"/>
      <c r="L184" s="100"/>
    </row>
    <row r="185" spans="1:12" x14ac:dyDescent="0.25">
      <c r="A185" s="695" t="str">
        <f t="shared" si="44"/>
        <v>Pounds</v>
      </c>
      <c r="B185" s="620"/>
      <c r="C185" s="733"/>
      <c r="D185" s="733"/>
      <c r="E185" s="733"/>
      <c r="F185" s="733"/>
      <c r="G185" s="733"/>
      <c r="H185" s="733"/>
      <c r="I185" s="408">
        <f t="shared" si="35"/>
        <v>0</v>
      </c>
      <c r="J185" s="408" t="str">
        <f t="shared" si="36"/>
        <v/>
      </c>
      <c r="K185" s="735"/>
      <c r="L185" s="100"/>
    </row>
    <row r="186" spans="1:12" x14ac:dyDescent="0.25">
      <c r="A186" s="607" t="str">
        <f t="shared" si="44"/>
        <v>Housing</v>
      </c>
      <c r="B186" s="620"/>
      <c r="C186" s="611">
        <f t="shared" ref="C186:H186" si="49">SUM(C187:C188)</f>
        <v>0</v>
      </c>
      <c r="D186" s="611">
        <f t="shared" si="49"/>
        <v>90129848.361797929</v>
      </c>
      <c r="E186" s="611">
        <f t="shared" si="49"/>
        <v>90129848.361797929</v>
      </c>
      <c r="F186" s="611">
        <f t="shared" si="49"/>
        <v>5030108.1200000029</v>
      </c>
      <c r="G186" s="611">
        <f t="shared" si="49"/>
        <v>28288208.049999997</v>
      </c>
      <c r="H186" s="611">
        <f t="shared" si="49"/>
        <v>37554103.484082468</v>
      </c>
      <c r="I186" s="611">
        <f>G186-H186</f>
        <v>-9265895.4340824708</v>
      </c>
      <c r="J186" s="611">
        <f>IF(I186=0,"",I186/H186)</f>
        <v>-0.24673456625079271</v>
      </c>
      <c r="K186" s="611">
        <f>SUM(K187:K188)</f>
        <v>90129848.361797929</v>
      </c>
      <c r="L186" s="100"/>
    </row>
    <row r="187" spans="1:12" x14ac:dyDescent="0.25">
      <c r="A187" s="695" t="str">
        <f t="shared" si="44"/>
        <v>Housing</v>
      </c>
      <c r="B187" s="620"/>
      <c r="C187" s="733"/>
      <c r="D187" s="733">
        <v>90129848.361797929</v>
      </c>
      <c r="E187" s="733">
        <v>90129848.361797929</v>
      </c>
      <c r="F187" s="733">
        <v>5030108.1200000029</v>
      </c>
      <c r="G187" s="733">
        <v>28288208.049999997</v>
      </c>
      <c r="H187" s="733">
        <f>E187/12*5</f>
        <v>37554103.484082468</v>
      </c>
      <c r="I187" s="408">
        <f>G187-H187</f>
        <v>-9265895.4340824708</v>
      </c>
      <c r="J187" s="408">
        <f>IF(I187=0,"",I187/H187)</f>
        <v>-0.24673456625079271</v>
      </c>
      <c r="K187" s="735">
        <f>E187</f>
        <v>90129848.361797929</v>
      </c>
      <c r="L187" s="100"/>
    </row>
    <row r="188" spans="1:12" x14ac:dyDescent="0.25">
      <c r="A188" s="695" t="str">
        <f t="shared" si="44"/>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44"/>
        <v>Health</v>
      </c>
      <c r="B189" s="620"/>
      <c r="C189" s="611">
        <f t="shared" ref="C189:K189" si="50">SUM(C190:C196)</f>
        <v>0</v>
      </c>
      <c r="D189" s="611">
        <f t="shared" si="50"/>
        <v>273885.02793777513</v>
      </c>
      <c r="E189" s="611">
        <f t="shared" si="50"/>
        <v>273885.02793777513</v>
      </c>
      <c r="F189" s="611">
        <f t="shared" si="50"/>
        <v>763767.8899999999</v>
      </c>
      <c r="G189" s="611">
        <f t="shared" si="50"/>
        <v>4235910.58</v>
      </c>
      <c r="H189" s="611">
        <f t="shared" si="50"/>
        <v>114118.76164073963</v>
      </c>
      <c r="I189" s="611">
        <f t="shared" si="35"/>
        <v>4121791.8183592604</v>
      </c>
      <c r="J189" s="611">
        <f t="shared" si="36"/>
        <v>36.118441517400839</v>
      </c>
      <c r="K189" s="614">
        <f t="shared" si="50"/>
        <v>273885.02793777513</v>
      </c>
      <c r="L189" s="100"/>
    </row>
    <row r="190" spans="1:12" x14ac:dyDescent="0.25">
      <c r="A190" s="695" t="str">
        <f t="shared" si="44"/>
        <v>Ambulance</v>
      </c>
      <c r="B190" s="620"/>
      <c r="C190" s="733"/>
      <c r="D190" s="733"/>
      <c r="E190" s="733"/>
      <c r="F190" s="733"/>
      <c r="G190" s="733"/>
      <c r="H190" s="733"/>
      <c r="I190" s="408">
        <f t="shared" si="35"/>
        <v>0</v>
      </c>
      <c r="J190" s="408" t="str">
        <f t="shared" si="36"/>
        <v/>
      </c>
      <c r="K190" s="735"/>
      <c r="L190" s="100"/>
    </row>
    <row r="191" spans="1:12" x14ac:dyDescent="0.25">
      <c r="A191" s="695" t="str">
        <f t="shared" si="44"/>
        <v>Health Services</v>
      </c>
      <c r="B191" s="620"/>
      <c r="C191" s="733"/>
      <c r="D191" s="733">
        <v>273885.02793777513</v>
      </c>
      <c r="E191" s="733">
        <v>273885.02793777513</v>
      </c>
      <c r="F191" s="733">
        <v>763767.8899999999</v>
      </c>
      <c r="G191" s="733">
        <v>4235910.58</v>
      </c>
      <c r="H191" s="733">
        <f>E191/12*5</f>
        <v>114118.76164073963</v>
      </c>
      <c r="I191" s="408">
        <f t="shared" si="35"/>
        <v>4121791.8183592604</v>
      </c>
      <c r="J191" s="408">
        <f t="shared" si="36"/>
        <v>36.118441517400839</v>
      </c>
      <c r="K191" s="735">
        <f>E191</f>
        <v>273885.02793777513</v>
      </c>
      <c r="L191" s="100"/>
    </row>
    <row r="192" spans="1:12" x14ac:dyDescent="0.25">
      <c r="A192" s="695" t="str">
        <f t="shared" ref="A192:A223" si="51">A70</f>
        <v>Laboratory Services</v>
      </c>
      <c r="B192" s="620"/>
      <c r="C192" s="733"/>
      <c r="D192" s="733"/>
      <c r="E192" s="733"/>
      <c r="F192" s="733"/>
      <c r="G192" s="733"/>
      <c r="H192" s="733"/>
      <c r="I192" s="408">
        <f t="shared" si="35"/>
        <v>0</v>
      </c>
      <c r="J192" s="408" t="str">
        <f t="shared" si="36"/>
        <v/>
      </c>
      <c r="K192" s="735"/>
      <c r="L192" s="100"/>
    </row>
    <row r="193" spans="1:12" x14ac:dyDescent="0.25">
      <c r="A193" s="695" t="str">
        <f t="shared" si="51"/>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51"/>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51"/>
        <v>Vector Control</v>
      </c>
      <c r="B195" s="620"/>
      <c r="C195" s="733"/>
      <c r="D195" s="733"/>
      <c r="E195" s="733"/>
      <c r="F195" s="733"/>
      <c r="G195" s="733"/>
      <c r="H195" s="733"/>
      <c r="I195" s="408">
        <f t="shared" si="35"/>
        <v>0</v>
      </c>
      <c r="J195" s="408" t="str">
        <f t="shared" si="36"/>
        <v/>
      </c>
      <c r="K195" s="735"/>
      <c r="L195" s="100"/>
    </row>
    <row r="196" spans="1:12" x14ac:dyDescent="0.25">
      <c r="A196" s="695" t="str">
        <f t="shared" si="51"/>
        <v>Chemical Safety</v>
      </c>
      <c r="B196" s="620"/>
      <c r="C196" s="733"/>
      <c r="D196" s="733"/>
      <c r="E196" s="733"/>
      <c r="F196" s="733"/>
      <c r="G196" s="733"/>
      <c r="H196" s="733"/>
      <c r="I196" s="408">
        <f t="shared" si="35"/>
        <v>0</v>
      </c>
      <c r="J196" s="408" t="str">
        <f t="shared" si="36"/>
        <v/>
      </c>
      <c r="K196" s="735"/>
      <c r="L196" s="100"/>
    </row>
    <row r="197" spans="1:12" x14ac:dyDescent="0.25">
      <c r="A197" s="414" t="str">
        <f t="shared" si="51"/>
        <v>Economic and environmental services</v>
      </c>
      <c r="B197" s="620"/>
      <c r="C197" s="605">
        <f t="shared" ref="C197:H197" si="52">C198+C209+C214</f>
        <v>0</v>
      </c>
      <c r="D197" s="605">
        <f t="shared" si="52"/>
        <v>288173315.58344549</v>
      </c>
      <c r="E197" s="605">
        <f t="shared" si="52"/>
        <v>290734151.92154366</v>
      </c>
      <c r="F197" s="605">
        <f t="shared" si="52"/>
        <v>25927626.219999999</v>
      </c>
      <c r="G197" s="605">
        <f t="shared" si="52"/>
        <v>135791327.76000005</v>
      </c>
      <c r="H197" s="605">
        <f t="shared" si="52"/>
        <v>121139229.96730983</v>
      </c>
      <c r="I197" s="605">
        <f t="shared" si="35"/>
        <v>14652097.792690217</v>
      </c>
      <c r="J197" s="605">
        <f t="shared" si="36"/>
        <v>0.1209525419357889</v>
      </c>
      <c r="K197" s="606">
        <f>K198+K209+K214</f>
        <v>290734151.92154366</v>
      </c>
      <c r="L197" s="100"/>
    </row>
    <row r="198" spans="1:12" x14ac:dyDescent="0.25">
      <c r="A198" s="607" t="str">
        <f t="shared" si="51"/>
        <v>Planning and development</v>
      </c>
      <c r="B198" s="620"/>
      <c r="C198" s="611">
        <f t="shared" ref="C198:K198" si="53">SUM(C199:C208)</f>
        <v>0</v>
      </c>
      <c r="D198" s="611">
        <f t="shared" si="53"/>
        <v>92239503.875528902</v>
      </c>
      <c r="E198" s="611">
        <f t="shared" si="53"/>
        <v>92239503.875528902</v>
      </c>
      <c r="F198" s="611">
        <f t="shared" si="53"/>
        <v>4992922.0900000017</v>
      </c>
      <c r="G198" s="611">
        <f t="shared" si="53"/>
        <v>27261876.820000008</v>
      </c>
      <c r="H198" s="611">
        <f t="shared" si="53"/>
        <v>38433126.614803709</v>
      </c>
      <c r="I198" s="611">
        <f t="shared" si="35"/>
        <v>-11171249.794803701</v>
      </c>
      <c r="J198" s="611">
        <f t="shared" si="36"/>
        <v>-0.29066721286476727</v>
      </c>
      <c r="K198" s="614">
        <f t="shared" si="53"/>
        <v>92239503.875528902</v>
      </c>
      <c r="L198" s="100"/>
    </row>
    <row r="199" spans="1:12" x14ac:dyDescent="0.25">
      <c r="A199" s="695" t="str">
        <f t="shared" si="51"/>
        <v>Billboards</v>
      </c>
      <c r="B199" s="620"/>
      <c r="C199" s="733"/>
      <c r="D199" s="733"/>
      <c r="E199" s="733"/>
      <c r="F199" s="733"/>
      <c r="G199" s="733"/>
      <c r="H199" s="733"/>
      <c r="I199" s="408">
        <f t="shared" si="35"/>
        <v>0</v>
      </c>
      <c r="J199" s="408" t="str">
        <f t="shared" si="36"/>
        <v/>
      </c>
      <c r="K199" s="735"/>
      <c r="L199" s="100"/>
    </row>
    <row r="200" spans="1:12" ht="22.5" x14ac:dyDescent="0.25">
      <c r="A200" s="695" t="str">
        <f t="shared" si="51"/>
        <v>Corporate Wide Strategic Planning (IDPs, LEDs)</v>
      </c>
      <c r="B200" s="620"/>
      <c r="C200" s="733"/>
      <c r="D200" s="733">
        <v>12848610.792359998</v>
      </c>
      <c r="E200" s="733">
        <v>12848610.792359998</v>
      </c>
      <c r="F200" s="733">
        <v>622645.91</v>
      </c>
      <c r="G200" s="733">
        <v>2784813.1899999995</v>
      </c>
      <c r="H200" s="733">
        <f>E200/12*5</f>
        <v>5353587.8301499989</v>
      </c>
      <c r="I200" s="408">
        <f t="shared" si="35"/>
        <v>-2568774.6401499994</v>
      </c>
      <c r="J200" s="408">
        <f t="shared" si="36"/>
        <v>-0.47982301246340558</v>
      </c>
      <c r="K200" s="735">
        <f>E200</f>
        <v>12848610.792359998</v>
      </c>
      <c r="L200" s="100"/>
    </row>
    <row r="201" spans="1:12" x14ac:dyDescent="0.25">
      <c r="A201" s="695" t="str">
        <f t="shared" si="51"/>
        <v>Central City Improvement District</v>
      </c>
      <c r="B201" s="620"/>
      <c r="C201" s="733"/>
      <c r="D201" s="733"/>
      <c r="E201" s="733"/>
      <c r="F201" s="733"/>
      <c r="G201" s="733"/>
      <c r="H201" s="733"/>
      <c r="I201" s="408">
        <f t="shared" si="35"/>
        <v>0</v>
      </c>
      <c r="J201" s="408" t="str">
        <f t="shared" si="36"/>
        <v/>
      </c>
      <c r="K201" s="735"/>
      <c r="L201" s="100"/>
    </row>
    <row r="202" spans="1:12" x14ac:dyDescent="0.25">
      <c r="A202" s="695" t="str">
        <f t="shared" si="51"/>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51"/>
        <v>Economic Development/Planning</v>
      </c>
      <c r="B203" s="620"/>
      <c r="C203" s="733"/>
      <c r="D203" s="733">
        <v>12958288.606480801</v>
      </c>
      <c r="E203" s="733">
        <v>12958288.606480801</v>
      </c>
      <c r="F203" s="733">
        <v>633495.25</v>
      </c>
      <c r="G203" s="733">
        <v>3264976.11</v>
      </c>
      <c r="H203" s="733">
        <f>E203/12*5</f>
        <v>5399286.9193670005</v>
      </c>
      <c r="I203" s="408">
        <f>G203-H203</f>
        <v>-2134310.8093670006</v>
      </c>
      <c r="J203" s="408">
        <f>IF(I203=0,"",I203/H203)</f>
        <v>-0.3952949419508201</v>
      </c>
      <c r="K203" s="735">
        <f>E203</f>
        <v>12958288.606480801</v>
      </c>
      <c r="L203" s="100"/>
    </row>
    <row r="204" spans="1:12" x14ac:dyDescent="0.25">
      <c r="A204" s="695" t="str">
        <f t="shared" si="51"/>
        <v>Regional Planning and Development</v>
      </c>
      <c r="B204" s="620"/>
      <c r="C204" s="733"/>
      <c r="D204" s="733"/>
      <c r="E204" s="733"/>
      <c r="F204" s="733"/>
      <c r="G204" s="733"/>
      <c r="H204" s="733"/>
      <c r="I204" s="408">
        <f>G204-H204</f>
        <v>0</v>
      </c>
      <c r="J204" s="408" t="str">
        <f>IF(I204=0,"",I204/H204)</f>
        <v/>
      </c>
      <c r="K204" s="735"/>
      <c r="L204" s="100"/>
    </row>
    <row r="205" spans="1:12" ht="22.5" x14ac:dyDescent="0.25">
      <c r="A205" s="695" t="str">
        <f t="shared" si="51"/>
        <v>Town Planning, Building Regulations and Enforcement, and City Engineer</v>
      </c>
      <c r="B205" s="620"/>
      <c r="C205" s="733"/>
      <c r="D205" s="733">
        <v>66432604.476688094</v>
      </c>
      <c r="E205" s="733">
        <v>66432604.476688094</v>
      </c>
      <c r="F205" s="733">
        <v>3736780.9300000016</v>
      </c>
      <c r="G205" s="733">
        <v>21212087.520000011</v>
      </c>
      <c r="H205" s="733">
        <f>E205/12*5</f>
        <v>27680251.865286708</v>
      </c>
      <c r="I205" s="408">
        <f>G205-H205</f>
        <v>-6468164.3452866971</v>
      </c>
      <c r="J205" s="408">
        <f>IF(I205=0,"",I205/H205)</f>
        <v>-0.23367433131626603</v>
      </c>
      <c r="K205" s="735">
        <f>E205</f>
        <v>66432604.476688094</v>
      </c>
      <c r="L205" s="100"/>
    </row>
    <row r="206" spans="1:12" x14ac:dyDescent="0.25">
      <c r="A206" s="695" t="str">
        <f t="shared" si="51"/>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51"/>
        <v>Provincial Planning</v>
      </c>
      <c r="B207" s="620"/>
      <c r="C207" s="733"/>
      <c r="D207" s="733"/>
      <c r="E207" s="733"/>
      <c r="F207" s="733"/>
      <c r="G207" s="733"/>
      <c r="H207" s="733"/>
      <c r="I207" s="408">
        <f t="shared" si="35"/>
        <v>0</v>
      </c>
      <c r="J207" s="408" t="str">
        <f t="shared" si="36"/>
        <v/>
      </c>
      <c r="K207" s="735"/>
      <c r="L207" s="100"/>
    </row>
    <row r="208" spans="1:12" x14ac:dyDescent="0.25">
      <c r="A208" s="695" t="str">
        <f t="shared" si="51"/>
        <v>Support to Local Municipalities</v>
      </c>
      <c r="B208" s="620"/>
      <c r="C208" s="733"/>
      <c r="D208" s="733"/>
      <c r="E208" s="733"/>
      <c r="F208" s="733"/>
      <c r="G208" s="733"/>
      <c r="H208" s="733"/>
      <c r="I208" s="408">
        <f t="shared" si="35"/>
        <v>0</v>
      </c>
      <c r="J208" s="408" t="str">
        <f t="shared" si="36"/>
        <v/>
      </c>
      <c r="K208" s="735"/>
      <c r="L208" s="100"/>
    </row>
    <row r="209" spans="1:12" x14ac:dyDescent="0.25">
      <c r="A209" s="607" t="str">
        <f t="shared" si="51"/>
        <v>Road transport</v>
      </c>
      <c r="B209" s="620"/>
      <c r="C209" s="611">
        <f t="shared" ref="C209:H209" si="54">SUM(C210:C213)</f>
        <v>0</v>
      </c>
      <c r="D209" s="611">
        <f t="shared" si="54"/>
        <v>171068986.74871668</v>
      </c>
      <c r="E209" s="611">
        <f t="shared" si="54"/>
        <v>173629823.08681485</v>
      </c>
      <c r="F209" s="611">
        <f t="shared" si="54"/>
        <v>19312425.029999994</v>
      </c>
      <c r="G209" s="611">
        <f t="shared" si="54"/>
        <v>99719622.00000003</v>
      </c>
      <c r="H209" s="611">
        <f t="shared" si="54"/>
        <v>72345759.61950618</v>
      </c>
      <c r="I209" s="611">
        <f t="shared" si="35"/>
        <v>27373862.38049385</v>
      </c>
      <c r="J209" s="611">
        <f t="shared" si="36"/>
        <v>0.37837549186660541</v>
      </c>
      <c r="K209" s="614">
        <f>SUM(K210:K213)</f>
        <v>173629823.08681485</v>
      </c>
      <c r="L209" s="100"/>
    </row>
    <row r="210" spans="1:12" x14ac:dyDescent="0.25">
      <c r="A210" s="695" t="str">
        <f t="shared" si="51"/>
        <v>Public Transport</v>
      </c>
      <c r="B210" s="620"/>
      <c r="C210" s="733"/>
      <c r="D210" s="733">
        <v>6112737.5899952119</v>
      </c>
      <c r="E210" s="733">
        <v>12235262.624093361</v>
      </c>
      <c r="F210" s="733">
        <v>743546.29999999993</v>
      </c>
      <c r="G210" s="733">
        <v>2839127.6099999989</v>
      </c>
      <c r="H210" s="733">
        <f>E210/12*5</f>
        <v>5098026.0933722341</v>
      </c>
      <c r="I210" s="408">
        <f t="shared" si="35"/>
        <v>-2258898.4833722352</v>
      </c>
      <c r="J210" s="408">
        <f t="shared" si="36"/>
        <v>-0.44309276610195275</v>
      </c>
      <c r="K210" s="735">
        <f>E210</f>
        <v>12235262.624093361</v>
      </c>
      <c r="L210" s="100"/>
    </row>
    <row r="211" spans="1:12" x14ac:dyDescent="0.25">
      <c r="A211" s="695" t="str">
        <f t="shared" si="51"/>
        <v>Road and Traffic Regulation</v>
      </c>
      <c r="B211" s="620"/>
      <c r="C211" s="733"/>
      <c r="D211" s="733">
        <v>75071897.514813796</v>
      </c>
      <c r="E211" s="733">
        <v>75071897.514813796</v>
      </c>
      <c r="F211" s="733"/>
      <c r="G211" s="733"/>
      <c r="H211" s="733">
        <f>E211/12*5</f>
        <v>31279957.297839079</v>
      </c>
      <c r="I211" s="408">
        <f>G211-H211</f>
        <v>-31279957.297839079</v>
      </c>
      <c r="J211" s="408">
        <f>IF(I211=0,"",I211/H211)</f>
        <v>-1</v>
      </c>
      <c r="K211" s="735">
        <f>E211</f>
        <v>75071897.514813796</v>
      </c>
      <c r="L211" s="100"/>
    </row>
    <row r="212" spans="1:12" x14ac:dyDescent="0.25">
      <c r="A212" s="695" t="str">
        <f t="shared" si="51"/>
        <v>Roads</v>
      </c>
      <c r="B212" s="620"/>
      <c r="C212" s="733"/>
      <c r="D212" s="733">
        <v>86766270.60115768</v>
      </c>
      <c r="E212" s="733">
        <v>83204581.905157685</v>
      </c>
      <c r="F212" s="733">
        <v>18286180.799999993</v>
      </c>
      <c r="G212" s="733">
        <v>96120457.610000029</v>
      </c>
      <c r="H212" s="733">
        <f>E212/12*5</f>
        <v>34668575.793815702</v>
      </c>
      <c r="I212" s="408">
        <f t="shared" si="35"/>
        <v>61451881.816184327</v>
      </c>
      <c r="J212" s="408">
        <f t="shared" si="36"/>
        <v>1.7725528207924341</v>
      </c>
      <c r="K212" s="735">
        <f>E212</f>
        <v>83204581.905157685</v>
      </c>
      <c r="L212" s="100"/>
    </row>
    <row r="213" spans="1:12" x14ac:dyDescent="0.25">
      <c r="A213" s="695" t="str">
        <f t="shared" si="51"/>
        <v>Taxi Ranks</v>
      </c>
      <c r="B213" s="620"/>
      <c r="C213" s="733"/>
      <c r="D213" s="733">
        <v>3118081.04275</v>
      </c>
      <c r="E213" s="733">
        <v>3118081.04275</v>
      </c>
      <c r="F213" s="733">
        <v>282697.93</v>
      </c>
      <c r="G213" s="733">
        <v>760036.78</v>
      </c>
      <c r="H213" s="733">
        <f>E213/12*5</f>
        <v>1299200.4344791668</v>
      </c>
      <c r="I213" s="408">
        <f t="shared" si="35"/>
        <v>-539163.65447916673</v>
      </c>
      <c r="J213" s="408">
        <f t="shared" si="36"/>
        <v>-0.41499651644998925</v>
      </c>
      <c r="K213" s="735">
        <f>E213</f>
        <v>3118081.04275</v>
      </c>
      <c r="L213" s="100"/>
    </row>
    <row r="214" spans="1:12" x14ac:dyDescent="0.25">
      <c r="A214" s="607" t="str">
        <f t="shared" si="51"/>
        <v>Environmental protection</v>
      </c>
      <c r="B214" s="620"/>
      <c r="C214" s="611">
        <f t="shared" ref="C214:K214" si="55">SUM(C215:C220)</f>
        <v>0</v>
      </c>
      <c r="D214" s="611">
        <f t="shared" si="55"/>
        <v>24864824.959199883</v>
      </c>
      <c r="E214" s="611">
        <f t="shared" si="55"/>
        <v>24864824.959199883</v>
      </c>
      <c r="F214" s="611">
        <f t="shared" si="55"/>
        <v>1622279.1</v>
      </c>
      <c r="G214" s="611">
        <f t="shared" si="55"/>
        <v>8809828.9399999995</v>
      </c>
      <c r="H214" s="611">
        <f t="shared" si="55"/>
        <v>10360343.732999951</v>
      </c>
      <c r="I214" s="611">
        <f t="shared" si="35"/>
        <v>-1550514.7929999512</v>
      </c>
      <c r="J214" s="611">
        <f t="shared" si="36"/>
        <v>-0.14965862455520892</v>
      </c>
      <c r="K214" s="614">
        <f t="shared" si="55"/>
        <v>24864824.959199883</v>
      </c>
      <c r="L214" s="100"/>
    </row>
    <row r="215" spans="1:12" x14ac:dyDescent="0.25">
      <c r="A215" s="695" t="str">
        <f t="shared" si="51"/>
        <v>Biodiversity and Landscape</v>
      </c>
      <c r="B215" s="620"/>
      <c r="C215" s="733"/>
      <c r="D215" s="733"/>
      <c r="E215" s="733"/>
      <c r="F215" s="733"/>
      <c r="G215" s="733"/>
      <c r="H215" s="733"/>
      <c r="I215" s="408">
        <f t="shared" si="35"/>
        <v>0</v>
      </c>
      <c r="J215" s="408" t="str">
        <f t="shared" si="36"/>
        <v/>
      </c>
      <c r="K215" s="735"/>
      <c r="L215" s="100"/>
    </row>
    <row r="216" spans="1:12" x14ac:dyDescent="0.25">
      <c r="A216" s="695" t="str">
        <f t="shared" si="51"/>
        <v>Coastal Protection</v>
      </c>
      <c r="B216" s="620"/>
      <c r="C216" s="733"/>
      <c r="D216" s="733"/>
      <c r="E216" s="733"/>
      <c r="F216" s="733"/>
      <c r="G216" s="733"/>
      <c r="H216" s="733"/>
      <c r="I216" s="408">
        <f t="shared" si="35"/>
        <v>0</v>
      </c>
      <c r="J216" s="408" t="str">
        <f t="shared" si="36"/>
        <v/>
      </c>
      <c r="K216" s="735"/>
      <c r="L216" s="100"/>
    </row>
    <row r="217" spans="1:12" x14ac:dyDescent="0.25">
      <c r="A217" s="695" t="str">
        <f t="shared" si="51"/>
        <v>Indigenous Forests</v>
      </c>
      <c r="B217" s="620"/>
      <c r="C217" s="733"/>
      <c r="D217" s="733"/>
      <c r="E217" s="733"/>
      <c r="F217" s="733"/>
      <c r="G217" s="733"/>
      <c r="H217" s="733"/>
      <c r="I217" s="408">
        <f t="shared" si="35"/>
        <v>0</v>
      </c>
      <c r="J217" s="408" t="str">
        <f t="shared" si="36"/>
        <v/>
      </c>
      <c r="K217" s="735"/>
      <c r="L217" s="100"/>
    </row>
    <row r="218" spans="1:12" x14ac:dyDescent="0.25">
      <c r="A218" s="695" t="str">
        <f t="shared" si="51"/>
        <v>Nature Conservation</v>
      </c>
      <c r="B218" s="620"/>
      <c r="C218" s="733"/>
      <c r="D218" s="733">
        <v>7953351.9763347059</v>
      </c>
      <c r="E218" s="733">
        <v>7953351.9763347059</v>
      </c>
      <c r="F218" s="733">
        <v>349504.6700000001</v>
      </c>
      <c r="G218" s="733">
        <v>1850200.0700000003</v>
      </c>
      <c r="H218" s="733">
        <f>E218/12*5</f>
        <v>3313896.6568061272</v>
      </c>
      <c r="I218" s="408">
        <f>G218-H218</f>
        <v>-1463696.5868061269</v>
      </c>
      <c r="J218" s="408">
        <f>IF(I218=0,"",I218/H218)</f>
        <v>-0.44168443931405238</v>
      </c>
      <c r="K218" s="735">
        <f>E218</f>
        <v>7953351.9763347059</v>
      </c>
      <c r="L218" s="100"/>
    </row>
    <row r="219" spans="1:12" x14ac:dyDescent="0.25">
      <c r="A219" s="695" t="str">
        <f t="shared" si="51"/>
        <v>Pollution Control</v>
      </c>
      <c r="B219" s="620"/>
      <c r="C219" s="733"/>
      <c r="D219" s="733">
        <v>16911472.982865177</v>
      </c>
      <c r="E219" s="733">
        <v>16911472.982865177</v>
      </c>
      <c r="F219" s="733">
        <v>1272774.43</v>
      </c>
      <c r="G219" s="733">
        <v>6959628.8699999992</v>
      </c>
      <c r="H219" s="733">
        <f>E219/12*5</f>
        <v>7046447.0761938244</v>
      </c>
      <c r="I219" s="408">
        <f>G219-H219</f>
        <v>-86818.20619382523</v>
      </c>
      <c r="J219" s="408">
        <f>IF(I219=0,"",I219/H219)</f>
        <v>-1.2320848401336541E-2</v>
      </c>
      <c r="K219" s="735">
        <f>E219</f>
        <v>16911472.982865177</v>
      </c>
      <c r="L219" s="100"/>
    </row>
    <row r="220" spans="1:12" x14ac:dyDescent="0.25">
      <c r="A220" s="695" t="str">
        <f t="shared" si="51"/>
        <v>Soil Conservation</v>
      </c>
      <c r="B220" s="620"/>
      <c r="C220" s="733"/>
      <c r="D220" s="733">
        <v>0</v>
      </c>
      <c r="E220" s="733"/>
      <c r="F220" s="733"/>
      <c r="G220" s="733"/>
      <c r="H220" s="733"/>
      <c r="I220" s="408">
        <f t="shared" si="35"/>
        <v>0</v>
      </c>
      <c r="J220" s="408" t="str">
        <f t="shared" si="36"/>
        <v/>
      </c>
      <c r="K220" s="735"/>
      <c r="L220" s="100"/>
    </row>
    <row r="221" spans="1:12" x14ac:dyDescent="0.25">
      <c r="A221" s="414" t="str">
        <f t="shared" si="51"/>
        <v>Trading services</v>
      </c>
      <c r="B221" s="620"/>
      <c r="C221" s="605">
        <f>C222+C226+C230+C235</f>
        <v>0</v>
      </c>
      <c r="D221" s="605">
        <f t="shared" ref="D221:I221" si="56">D222+D226+D230+D235</f>
        <v>3353046546.6774907</v>
      </c>
      <c r="E221" s="605">
        <f t="shared" si="56"/>
        <v>3353046546.6774907</v>
      </c>
      <c r="F221" s="605">
        <f t="shared" si="56"/>
        <v>293006671.10000002</v>
      </c>
      <c r="G221" s="605">
        <f t="shared" si="56"/>
        <v>1550483163.7100008</v>
      </c>
      <c r="H221" s="605">
        <f t="shared" si="56"/>
        <v>1397102727.7822876</v>
      </c>
      <c r="I221" s="605">
        <f t="shared" si="56"/>
        <v>153380435.92771292</v>
      </c>
      <c r="J221" s="605">
        <f t="shared" si="36"/>
        <v>0.10978465139151486</v>
      </c>
      <c r="K221" s="606">
        <f>K222+K226+K230+K235</f>
        <v>3353046546.6774907</v>
      </c>
      <c r="L221" s="100"/>
    </row>
    <row r="222" spans="1:12" x14ac:dyDescent="0.25">
      <c r="A222" s="607" t="str">
        <f t="shared" si="51"/>
        <v>Energy sources</v>
      </c>
      <c r="B222" s="620"/>
      <c r="C222" s="611">
        <f t="shared" ref="C222:K222" si="57">SUM(C223:C225)</f>
        <v>0</v>
      </c>
      <c r="D222" s="611">
        <f t="shared" si="57"/>
        <v>2291332272.7237678</v>
      </c>
      <c r="E222" s="611">
        <f t="shared" si="57"/>
        <v>2291332272.7237678</v>
      </c>
      <c r="F222" s="611">
        <f t="shared" si="57"/>
        <v>192756858.72</v>
      </c>
      <c r="G222" s="611">
        <f t="shared" si="57"/>
        <v>1034439000.3600007</v>
      </c>
      <c r="H222" s="611">
        <f t="shared" si="57"/>
        <v>954721780.30156994</v>
      </c>
      <c r="I222" s="611">
        <f t="shared" si="35"/>
        <v>79717220.058430791</v>
      </c>
      <c r="J222" s="611">
        <f t="shared" si="36"/>
        <v>8.3497854247391687E-2</v>
      </c>
      <c r="K222" s="614">
        <f t="shared" si="57"/>
        <v>2291332272.7237678</v>
      </c>
      <c r="L222" s="100"/>
    </row>
    <row r="223" spans="1:12" x14ac:dyDescent="0.25">
      <c r="A223" s="695" t="str">
        <f t="shared" si="51"/>
        <v xml:space="preserve">Electricity </v>
      </c>
      <c r="B223" s="620"/>
      <c r="C223" s="733"/>
      <c r="D223" s="733">
        <v>2270836245.4232864</v>
      </c>
      <c r="E223" s="733">
        <v>2270836245.4232864</v>
      </c>
      <c r="F223" s="733">
        <v>189937770.44999999</v>
      </c>
      <c r="G223" s="733">
        <v>1022098372.3500007</v>
      </c>
      <c r="H223" s="733">
        <f>E223/12*5</f>
        <v>946181768.92636943</v>
      </c>
      <c r="I223" s="408">
        <f t="shared" si="35"/>
        <v>75916603.42363131</v>
      </c>
      <c r="J223" s="408">
        <f t="shared" si="36"/>
        <v>8.0234692652949469E-2</v>
      </c>
      <c r="K223" s="735">
        <f>E223</f>
        <v>2270836245.4232864</v>
      </c>
      <c r="L223" s="100"/>
    </row>
    <row r="224" spans="1:12" x14ac:dyDescent="0.25">
      <c r="A224" s="695" t="str">
        <f t="shared" ref="A224:A246" si="58">A102</f>
        <v>Street Lighting and Signal Systems</v>
      </c>
      <c r="B224" s="620"/>
      <c r="C224" s="733"/>
      <c r="D224" s="733">
        <v>20496027.300481234</v>
      </c>
      <c r="E224" s="733">
        <v>20496027.300481234</v>
      </c>
      <c r="F224" s="733">
        <v>2819088.2700000005</v>
      </c>
      <c r="G224" s="733">
        <v>12340628.009999998</v>
      </c>
      <c r="H224" s="733">
        <f>E224/12*5</f>
        <v>8540011.3752005138</v>
      </c>
      <c r="I224" s="408">
        <f>G224-H224</f>
        <v>3800616.6347994842</v>
      </c>
      <c r="J224" s="408">
        <f>IF(I224=0,"",I224/H224)</f>
        <v>0.44503648388995831</v>
      </c>
      <c r="K224" s="735">
        <f>E224</f>
        <v>20496027.300481234</v>
      </c>
      <c r="L224" s="100"/>
    </row>
    <row r="225" spans="1:12" x14ac:dyDescent="0.25">
      <c r="A225" s="695" t="str">
        <f t="shared" si="58"/>
        <v>Nonelectric Energy</v>
      </c>
      <c r="B225" s="620"/>
      <c r="C225" s="733"/>
      <c r="D225" s="733">
        <v>0</v>
      </c>
      <c r="E225" s="733"/>
      <c r="F225" s="733"/>
      <c r="G225" s="733"/>
      <c r="H225" s="733"/>
      <c r="I225" s="408">
        <f t="shared" si="35"/>
        <v>0</v>
      </c>
      <c r="J225" s="408" t="str">
        <f t="shared" si="36"/>
        <v/>
      </c>
      <c r="K225" s="735"/>
      <c r="L225" s="100"/>
    </row>
    <row r="226" spans="1:12" x14ac:dyDescent="0.25">
      <c r="A226" s="607" t="str">
        <f t="shared" si="58"/>
        <v>Water management</v>
      </c>
      <c r="B226" s="620"/>
      <c r="C226" s="611">
        <f t="shared" ref="C226:K226" si="59">SUM(C227:C229)</f>
        <v>0</v>
      </c>
      <c r="D226" s="611">
        <f t="shared" si="59"/>
        <v>0</v>
      </c>
      <c r="E226" s="611">
        <f t="shared" si="59"/>
        <v>0</v>
      </c>
      <c r="F226" s="611">
        <f t="shared" si="59"/>
        <v>69761810.859999999</v>
      </c>
      <c r="G226" s="611">
        <f t="shared" si="59"/>
        <v>365699409.40999997</v>
      </c>
      <c r="H226" s="611">
        <f t="shared" si="59"/>
        <v>0</v>
      </c>
      <c r="I226" s="611">
        <f t="shared" si="35"/>
        <v>365699409.40999997</v>
      </c>
      <c r="J226" s="611" t="e">
        <f t="shared" si="36"/>
        <v>#DIV/0!</v>
      </c>
      <c r="K226" s="614">
        <f t="shared" si="59"/>
        <v>0</v>
      </c>
      <c r="L226" s="100"/>
    </row>
    <row r="227" spans="1:12" x14ac:dyDescent="0.25">
      <c r="A227" s="695" t="str">
        <f t="shared" si="58"/>
        <v>Water Treatment</v>
      </c>
      <c r="B227" s="620"/>
      <c r="C227" s="733"/>
      <c r="D227" s="733"/>
      <c r="E227" s="733"/>
      <c r="F227" s="733"/>
      <c r="G227" s="733"/>
      <c r="H227" s="733"/>
      <c r="I227" s="408">
        <f t="shared" si="35"/>
        <v>0</v>
      </c>
      <c r="J227" s="408" t="str">
        <f t="shared" si="36"/>
        <v/>
      </c>
      <c r="K227" s="735"/>
      <c r="L227" s="100"/>
    </row>
    <row r="228" spans="1:12" x14ac:dyDescent="0.25">
      <c r="A228" s="695" t="str">
        <f t="shared" si="58"/>
        <v>Water Distribution</v>
      </c>
      <c r="B228" s="620"/>
      <c r="C228" s="733"/>
      <c r="D228" s="733"/>
      <c r="E228" s="733"/>
      <c r="F228" s="733">
        <v>69761810.859999999</v>
      </c>
      <c r="G228" s="733">
        <v>365699409.40999997</v>
      </c>
      <c r="H228" s="733"/>
      <c r="I228" s="408">
        <f>G228-H228</f>
        <v>365699409.40999997</v>
      </c>
      <c r="J228" s="408" t="e">
        <f>IF(I228=0,"",I228/H228)</f>
        <v>#DIV/0!</v>
      </c>
      <c r="K228" s="735"/>
      <c r="L228" s="100"/>
    </row>
    <row r="229" spans="1:12" x14ac:dyDescent="0.25">
      <c r="A229" s="695" t="str">
        <f t="shared" si="58"/>
        <v>Water Storage</v>
      </c>
      <c r="B229" s="620"/>
      <c r="C229" s="733"/>
      <c r="D229" s="733"/>
      <c r="E229" s="733"/>
      <c r="F229" s="733"/>
      <c r="G229" s="733"/>
      <c r="H229" s="733"/>
      <c r="I229" s="408">
        <f t="shared" si="35"/>
        <v>0</v>
      </c>
      <c r="J229" s="408" t="str">
        <f t="shared" si="36"/>
        <v/>
      </c>
      <c r="K229" s="735"/>
      <c r="L229" s="100"/>
    </row>
    <row r="230" spans="1:12" x14ac:dyDescent="0.25">
      <c r="A230" s="607" t="str">
        <f t="shared" si="58"/>
        <v>Waste water management</v>
      </c>
      <c r="B230" s="620"/>
      <c r="C230" s="611">
        <f t="shared" ref="C230:K230" si="60">SUM(C231:C234)</f>
        <v>0</v>
      </c>
      <c r="D230" s="611">
        <f t="shared" si="60"/>
        <v>931929869.0260967</v>
      </c>
      <c r="E230" s="611">
        <f t="shared" si="60"/>
        <v>931929869.0260967</v>
      </c>
      <c r="F230" s="611">
        <f t="shared" si="60"/>
        <v>21401733.98</v>
      </c>
      <c r="G230" s="611">
        <f t="shared" si="60"/>
        <v>99031335.689999998</v>
      </c>
      <c r="H230" s="611">
        <f t="shared" si="60"/>
        <v>388304112.09420693</v>
      </c>
      <c r="I230" s="611">
        <f t="shared" si="35"/>
        <v>-289272776.40420693</v>
      </c>
      <c r="J230" s="611">
        <f t="shared" si="36"/>
        <v>-0.74496449405105991</v>
      </c>
      <c r="K230" s="614">
        <f t="shared" si="60"/>
        <v>931929869.0260967</v>
      </c>
      <c r="L230" s="100"/>
    </row>
    <row r="231" spans="1:12" x14ac:dyDescent="0.25">
      <c r="A231" s="695" t="str">
        <f t="shared" si="58"/>
        <v>Public Toilets</v>
      </c>
      <c r="B231" s="620"/>
      <c r="C231" s="733"/>
      <c r="D231" s="733">
        <v>1325140.728374806</v>
      </c>
      <c r="E231" s="733">
        <v>1325140.728374806</v>
      </c>
      <c r="F231" s="733">
        <v>203043.04000000004</v>
      </c>
      <c r="G231" s="733">
        <v>742980.22</v>
      </c>
      <c r="H231" s="733">
        <f>E231/12*5</f>
        <v>552141.97015616915</v>
      </c>
      <c r="I231" s="408">
        <f t="shared" si="35"/>
        <v>190838.24984383082</v>
      </c>
      <c r="J231" s="408">
        <f t="shared" si="36"/>
        <v>0.34563257306785367</v>
      </c>
      <c r="K231" s="735">
        <f>E231</f>
        <v>1325140.728374806</v>
      </c>
      <c r="L231" s="100"/>
    </row>
    <row r="232" spans="1:12" x14ac:dyDescent="0.25">
      <c r="A232" s="695" t="str">
        <f t="shared" si="58"/>
        <v>Sewerage</v>
      </c>
      <c r="B232" s="620"/>
      <c r="C232" s="733"/>
      <c r="D232" s="733">
        <v>225241153.38453153</v>
      </c>
      <c r="E232" s="733">
        <v>225241153.38453153</v>
      </c>
      <c r="F232" s="733">
        <v>19007497.960000001</v>
      </c>
      <c r="G232" s="733">
        <v>86280024.450000003</v>
      </c>
      <c r="H232" s="733">
        <f>E232/12*5</f>
        <v>93850480.576888144</v>
      </c>
      <c r="I232" s="408">
        <f t="shared" si="35"/>
        <v>-7570456.126888141</v>
      </c>
      <c r="J232" s="408">
        <f t="shared" si="36"/>
        <v>-8.0665075771092651E-2</v>
      </c>
      <c r="K232" s="735">
        <f>E232</f>
        <v>225241153.38453153</v>
      </c>
      <c r="L232" s="100"/>
    </row>
    <row r="233" spans="1:12" x14ac:dyDescent="0.25">
      <c r="A233" s="695" t="str">
        <f t="shared" si="58"/>
        <v>Storm Water Management</v>
      </c>
      <c r="B233" s="620"/>
      <c r="C233" s="733"/>
      <c r="D233" s="733">
        <v>560143.7006000001</v>
      </c>
      <c r="E233" s="733">
        <v>560143.7006000001</v>
      </c>
      <c r="F233" s="733">
        <v>2191192.98</v>
      </c>
      <c r="G233" s="733">
        <v>12008331.019999998</v>
      </c>
      <c r="H233" s="733">
        <f>E233/12*5</f>
        <v>233393.20858333335</v>
      </c>
      <c r="I233" s="408">
        <f>G233-H233</f>
        <v>11774937.811416665</v>
      </c>
      <c r="J233" s="408">
        <f>IF(I233=0,"",I233/H233)</f>
        <v>50.451073032026159</v>
      </c>
      <c r="K233" s="735">
        <f>E233</f>
        <v>560143.7006000001</v>
      </c>
      <c r="L233" s="100"/>
    </row>
    <row r="234" spans="1:12" x14ac:dyDescent="0.25">
      <c r="A234" s="695" t="str">
        <f t="shared" si="58"/>
        <v>Waste Water Treatment</v>
      </c>
      <c r="B234" s="620"/>
      <c r="C234" s="733"/>
      <c r="D234" s="733">
        <v>704803431.21259034</v>
      </c>
      <c r="E234" s="733">
        <v>704803431.21259034</v>
      </c>
      <c r="F234" s="733"/>
      <c r="G234" s="733"/>
      <c r="H234" s="733">
        <f>E234/12*5</f>
        <v>293668096.3385793</v>
      </c>
      <c r="I234" s="408">
        <f t="shared" si="35"/>
        <v>-293668096.3385793</v>
      </c>
      <c r="J234" s="408">
        <f t="shared" si="36"/>
        <v>-1</v>
      </c>
      <c r="K234" s="735">
        <f>E234</f>
        <v>704803431.21259034</v>
      </c>
      <c r="L234" s="100"/>
    </row>
    <row r="235" spans="1:12" x14ac:dyDescent="0.25">
      <c r="A235" s="607" t="str">
        <f t="shared" si="58"/>
        <v>Waste management</v>
      </c>
      <c r="B235" s="620"/>
      <c r="C235" s="611">
        <f t="shared" ref="C235:H235" si="61">SUM(C236:C239)</f>
        <v>0</v>
      </c>
      <c r="D235" s="611">
        <f t="shared" si="61"/>
        <v>129784404.92762612</v>
      </c>
      <c r="E235" s="611">
        <f t="shared" si="61"/>
        <v>129784404.92762612</v>
      </c>
      <c r="F235" s="611">
        <f t="shared" si="61"/>
        <v>9086267.5400000028</v>
      </c>
      <c r="G235" s="611">
        <f t="shared" si="61"/>
        <v>51313418.249999978</v>
      </c>
      <c r="H235" s="611">
        <f t="shared" si="61"/>
        <v>54076835.386510879</v>
      </c>
      <c r="I235" s="611">
        <f t="shared" si="35"/>
        <v>-2763417.1365109012</v>
      </c>
      <c r="J235" s="611">
        <f t="shared" si="36"/>
        <v>-5.1101679984776216E-2</v>
      </c>
      <c r="K235" s="611">
        <f>SUM(K236:K239)</f>
        <v>129784404.92762612</v>
      </c>
      <c r="L235" s="100"/>
    </row>
    <row r="236" spans="1:12" x14ac:dyDescent="0.25">
      <c r="A236" s="695" t="str">
        <f t="shared" si="58"/>
        <v>Recycling</v>
      </c>
      <c r="B236" s="620"/>
      <c r="C236" s="733"/>
      <c r="D236" s="733"/>
      <c r="E236" s="733"/>
      <c r="F236" s="733"/>
      <c r="G236" s="733"/>
      <c r="H236" s="733"/>
      <c r="I236" s="408">
        <f>G236-H236</f>
        <v>0</v>
      </c>
      <c r="J236" s="408" t="str">
        <f>IF(I236=0,"",I236/H236)</f>
        <v/>
      </c>
      <c r="K236" s="735"/>
      <c r="L236" s="100"/>
    </row>
    <row r="237" spans="1:12" x14ac:dyDescent="0.25">
      <c r="A237" s="695" t="str">
        <f t="shared" si="58"/>
        <v>Solid Waste Disposal (Landfill Sites)</v>
      </c>
      <c r="B237" s="620"/>
      <c r="C237" s="733"/>
      <c r="D237" s="733">
        <v>13353688.704158884</v>
      </c>
      <c r="E237" s="733">
        <v>13353688.704158884</v>
      </c>
      <c r="F237" s="733">
        <v>262595.52</v>
      </c>
      <c r="G237" s="733">
        <v>2263131.54</v>
      </c>
      <c r="H237" s="733">
        <f>E237/12*5</f>
        <v>5564036.9600662021</v>
      </c>
      <c r="I237" s="408">
        <f>G237-H237</f>
        <v>-3300905.4200662021</v>
      </c>
      <c r="J237" s="408">
        <f>IF(I237=0,"",I237/H237)</f>
        <v>-0.59325727772069425</v>
      </c>
      <c r="K237" s="735">
        <f>E237</f>
        <v>13353688.704158884</v>
      </c>
      <c r="L237" s="100"/>
    </row>
    <row r="238" spans="1:12" x14ac:dyDescent="0.25">
      <c r="A238" s="695" t="str">
        <f t="shared" si="58"/>
        <v>Solid Waste Removal</v>
      </c>
      <c r="B238" s="620"/>
      <c r="C238" s="733"/>
      <c r="D238" s="733">
        <v>116430716.22346723</v>
      </c>
      <c r="E238" s="733">
        <v>116430716.22346723</v>
      </c>
      <c r="F238" s="733">
        <v>8823672.0200000033</v>
      </c>
      <c r="G238" s="733">
        <v>49050286.709999979</v>
      </c>
      <c r="H238" s="733">
        <f>E238/12*5</f>
        <v>48512798.426444679</v>
      </c>
      <c r="I238" s="408">
        <f>G238-H238</f>
        <v>537488.28355529904</v>
      </c>
      <c r="J238" s="408">
        <f>IF(I238=0,"",I238/H238)</f>
        <v>1.107930898627176E-2</v>
      </c>
      <c r="K238" s="735">
        <f>E238</f>
        <v>116430716.22346723</v>
      </c>
      <c r="L238" s="100"/>
    </row>
    <row r="239" spans="1:12" x14ac:dyDescent="0.25">
      <c r="A239" s="695" t="str">
        <f t="shared" si="58"/>
        <v>Street Cleaning</v>
      </c>
      <c r="B239" s="415"/>
      <c r="C239" s="733"/>
      <c r="D239" s="733"/>
      <c r="E239" s="733"/>
      <c r="F239" s="733"/>
      <c r="G239" s="733"/>
      <c r="H239" s="733"/>
      <c r="I239" s="408">
        <f t="shared" si="35"/>
        <v>0</v>
      </c>
      <c r="J239" s="408" t="str">
        <f t="shared" si="36"/>
        <v/>
      </c>
      <c r="K239" s="735"/>
      <c r="L239" s="100"/>
    </row>
    <row r="240" spans="1:12" x14ac:dyDescent="0.25">
      <c r="A240" s="414" t="str">
        <f t="shared" si="58"/>
        <v>Other</v>
      </c>
      <c r="B240" s="415"/>
      <c r="C240" s="611">
        <f t="shared" ref="C240:K240" si="62">SUM(C241:C246)</f>
        <v>0</v>
      </c>
      <c r="D240" s="611">
        <f t="shared" si="62"/>
        <v>81300979.882271051</v>
      </c>
      <c r="E240" s="611">
        <f t="shared" si="62"/>
        <v>81300979.881984949</v>
      </c>
      <c r="F240" s="611">
        <f t="shared" si="62"/>
        <v>4308940.6100000013</v>
      </c>
      <c r="G240" s="611">
        <f t="shared" si="62"/>
        <v>25507268.949999999</v>
      </c>
      <c r="H240" s="611">
        <f t="shared" si="62"/>
        <v>33875408.284160398</v>
      </c>
      <c r="I240" s="611">
        <f t="shared" si="35"/>
        <v>-8368139.3341603987</v>
      </c>
      <c r="J240" s="611">
        <f t="shared" si="36"/>
        <v>-0.24702696610960723</v>
      </c>
      <c r="K240" s="614">
        <f t="shared" si="62"/>
        <v>81300979.881984949</v>
      </c>
      <c r="L240" s="100"/>
    </row>
    <row r="241" spans="1:12" x14ac:dyDescent="0.25">
      <c r="A241" s="607" t="str">
        <f t="shared" si="58"/>
        <v>Abattoirs</v>
      </c>
      <c r="B241" s="415"/>
      <c r="C241" s="733"/>
      <c r="D241" s="733"/>
      <c r="E241" s="733"/>
      <c r="F241" s="733"/>
      <c r="G241" s="733"/>
      <c r="H241" s="735"/>
      <c r="I241" s="408">
        <f t="shared" si="35"/>
        <v>0</v>
      </c>
      <c r="J241" s="408" t="str">
        <f t="shared" si="36"/>
        <v/>
      </c>
      <c r="K241" s="735"/>
      <c r="L241" s="100"/>
    </row>
    <row r="242" spans="1:12" x14ac:dyDescent="0.25">
      <c r="A242" s="607" t="str">
        <f t="shared" si="58"/>
        <v>Air Transport</v>
      </c>
      <c r="B242" s="415"/>
      <c r="C242" s="733"/>
      <c r="D242" s="733">
        <v>30392698.58867228</v>
      </c>
      <c r="E242" s="733">
        <v>30392698.58867228</v>
      </c>
      <c r="F242" s="733">
        <v>1628435.9800000002</v>
      </c>
      <c r="G242" s="733">
        <v>8471474.2500000019</v>
      </c>
      <c r="H242" s="733">
        <f>E242/12*5</f>
        <v>12663624.411946785</v>
      </c>
      <c r="I242" s="408">
        <f t="shared" si="35"/>
        <v>-4192150.1619467828</v>
      </c>
      <c r="J242" s="408">
        <f t="shared" si="36"/>
        <v>-0.3310387315334411</v>
      </c>
      <c r="K242" s="735">
        <f>E242</f>
        <v>30392698.58867228</v>
      </c>
      <c r="L242" s="100"/>
    </row>
    <row r="243" spans="1:12" x14ac:dyDescent="0.25">
      <c r="A243" s="607" t="str">
        <f t="shared" si="58"/>
        <v xml:space="preserve">Forestry </v>
      </c>
      <c r="B243" s="415"/>
      <c r="C243" s="733"/>
      <c r="D243" s="733">
        <v>5026381.4873491293</v>
      </c>
      <c r="E243" s="733">
        <v>5026381.4873491293</v>
      </c>
      <c r="F243" s="733">
        <v>16537.79</v>
      </c>
      <c r="G243" s="733">
        <v>3239032.11</v>
      </c>
      <c r="H243" s="733">
        <f>E243/12*5</f>
        <v>2094325.6197288039</v>
      </c>
      <c r="I243" s="408">
        <f>G243-H243</f>
        <v>1144706.490271196</v>
      </c>
      <c r="J243" s="408">
        <f>IF(I243=0,"",I243/H243)</f>
        <v>0.54657522186995211</v>
      </c>
      <c r="K243" s="735">
        <f>E243</f>
        <v>5026381.4873491293</v>
      </c>
      <c r="L243" s="100"/>
    </row>
    <row r="244" spans="1:12" x14ac:dyDescent="0.25">
      <c r="A244" s="607" t="str">
        <f t="shared" si="58"/>
        <v>Licensing and Regulation</v>
      </c>
      <c r="B244" s="415"/>
      <c r="C244" s="733"/>
      <c r="D244" s="733">
        <v>10803274.511466645</v>
      </c>
      <c r="E244" s="733">
        <v>10803274.511466645</v>
      </c>
      <c r="F244" s="733">
        <v>337858.78999999992</v>
      </c>
      <c r="G244" s="733">
        <v>1903034.6800000002</v>
      </c>
      <c r="H244" s="733">
        <f>E244/12*5</f>
        <v>4501364.3797777686</v>
      </c>
      <c r="I244" s="408">
        <f t="shared" si="35"/>
        <v>-2598329.6997777685</v>
      </c>
      <c r="J244" s="408">
        <f t="shared" si="36"/>
        <v>-0.57723158592774204</v>
      </c>
      <c r="K244" s="735">
        <f>E244</f>
        <v>10803274.511466645</v>
      </c>
      <c r="L244" s="100"/>
    </row>
    <row r="245" spans="1:12" x14ac:dyDescent="0.25">
      <c r="A245" s="607" t="str">
        <f t="shared" si="58"/>
        <v>Markets</v>
      </c>
      <c r="B245" s="415"/>
      <c r="C245" s="733"/>
      <c r="D245" s="733">
        <v>32893514.314352129</v>
      </c>
      <c r="E245" s="733">
        <v>32893514.314352129</v>
      </c>
      <c r="F245" s="733">
        <v>2287066.8600000008</v>
      </c>
      <c r="G245" s="733">
        <v>11297162.649999999</v>
      </c>
      <c r="H245" s="733">
        <f>E245/12*5</f>
        <v>13705630.964313388</v>
      </c>
      <c r="I245" s="408">
        <f>G245-H245</f>
        <v>-2408468.3143133894</v>
      </c>
      <c r="J245" s="408">
        <f>IF(I245=0,"",I245/H245)</f>
        <v>-0.17572837913004807</v>
      </c>
      <c r="K245" s="735">
        <f>E245</f>
        <v>32893514.314352129</v>
      </c>
      <c r="L245" s="100"/>
    </row>
    <row r="246" spans="1:12" x14ac:dyDescent="0.25">
      <c r="A246" s="607" t="str">
        <f t="shared" si="58"/>
        <v>Tourism</v>
      </c>
      <c r="B246" s="415"/>
      <c r="C246" s="733"/>
      <c r="D246" s="733">
        <v>2185110.9804308736</v>
      </c>
      <c r="E246" s="733">
        <v>2185110.9801447713</v>
      </c>
      <c r="F246" s="733">
        <v>39041.189999999995</v>
      </c>
      <c r="G246" s="733">
        <v>596565.26</v>
      </c>
      <c r="H246" s="733">
        <f>E246/12*5</f>
        <v>910462.90839365462</v>
      </c>
      <c r="I246" s="408">
        <f>G246-H246</f>
        <v>-313897.64839365461</v>
      </c>
      <c r="J246" s="408">
        <f>IF(I246=0,"",I246/H246)</f>
        <v>-0.34476709100370673</v>
      </c>
      <c r="K246" s="735">
        <f>E246</f>
        <v>2185110.9801447713</v>
      </c>
      <c r="L246" s="100"/>
    </row>
    <row r="247" spans="1:12" x14ac:dyDescent="0.25">
      <c r="A247" s="615" t="str">
        <f>"Total "&amp;A127</f>
        <v>Total Expenditure - Functional</v>
      </c>
      <c r="B247" s="415">
        <v>3</v>
      </c>
      <c r="C247" s="545">
        <f t="shared" ref="C247:I247" si="63">C128+C148+C197+C221+C240</f>
        <v>0</v>
      </c>
      <c r="D247" s="545">
        <f t="shared" si="63"/>
        <v>5502340406.032732</v>
      </c>
      <c r="E247" s="545">
        <f t="shared" si="63"/>
        <v>5559528170.2307873</v>
      </c>
      <c r="F247" s="545">
        <f t="shared" si="63"/>
        <v>439316979.02000004</v>
      </c>
      <c r="G247" s="545">
        <f t="shared" si="63"/>
        <v>2307630800.4100008</v>
      </c>
      <c r="H247" s="545">
        <f t="shared" si="63"/>
        <v>2316470070.9294949</v>
      </c>
      <c r="I247" s="545">
        <f t="shared" si="63"/>
        <v>-8839270.5194941275</v>
      </c>
      <c r="J247" s="545">
        <f>IF(I247=0,"",I247/H247)</f>
        <v>-3.8158362719304755E-3</v>
      </c>
      <c r="K247" s="597">
        <f>K128+K148+K197+K221+K240</f>
        <v>5559528170.2307873</v>
      </c>
      <c r="L247" s="100"/>
    </row>
    <row r="248" spans="1:12" x14ac:dyDescent="0.25">
      <c r="A248" s="621" t="str">
        <f>result</f>
        <v>Surplus/ (Deficit) for the year</v>
      </c>
      <c r="B248" s="622"/>
      <c r="C248" s="76">
        <f t="shared" ref="C248:H248" si="64">C125-C247</f>
        <v>0</v>
      </c>
      <c r="D248" s="76">
        <f t="shared" si="64"/>
        <v>941737276.83932972</v>
      </c>
      <c r="E248" s="76">
        <f t="shared" si="64"/>
        <v>973171668.64127731</v>
      </c>
      <c r="F248" s="76">
        <f t="shared" si="64"/>
        <v>22734446.949999988</v>
      </c>
      <c r="G248" s="76">
        <f t="shared" si="64"/>
        <v>263785246.9399991</v>
      </c>
      <c r="H248" s="76">
        <f t="shared" si="64"/>
        <v>405488195.26719904</v>
      </c>
      <c r="I248" s="634">
        <f>G248-H248</f>
        <v>-141702948.32719994</v>
      </c>
      <c r="J248" s="634">
        <f>IF(I248=0,"",I248/H248)</f>
        <v>-0.34946257371025036</v>
      </c>
      <c r="K248" s="234">
        <f>K125-K247</f>
        <v>973171668.64127731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6" t="s">
        <v>1207</v>
      </c>
      <c r="B253" s="1046"/>
      <c r="C253" s="1046"/>
      <c r="D253" s="1046"/>
      <c r="E253" s="1046"/>
      <c r="F253" s="1046"/>
      <c r="G253" s="1046"/>
      <c r="H253" s="1046"/>
      <c r="I253" s="1046"/>
      <c r="J253" s="1046"/>
      <c r="K253" s="1046"/>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0</v>
      </c>
      <c r="F256" s="628">
        <f>F125-'C4-FinPerf RE'!F53</f>
        <v>0</v>
      </c>
      <c r="G256" s="628">
        <f>G125-'C4-FinPerf RE'!G53</f>
        <v>0</v>
      </c>
      <c r="H256" s="628">
        <f>H125-'C4-FinPerf RE'!H53</f>
        <v>0</v>
      </c>
      <c r="I256" s="628">
        <f>I125-'C4-FinPerf RE'!I53</f>
        <v>-150542218.84669399</v>
      </c>
      <c r="J256" s="629"/>
      <c r="K256" s="628">
        <f>K125-'C4-FinPerf RE'!K53</f>
        <v>0</v>
      </c>
    </row>
    <row r="257" spans="1:11" x14ac:dyDescent="0.25">
      <c r="A257" s="81" t="s">
        <v>179</v>
      </c>
      <c r="B257" s="64"/>
      <c r="C257" s="628">
        <f>C247-'C4-FinPerf RE'!C36</f>
        <v>0</v>
      </c>
      <c r="D257" s="628">
        <f>D247-'C4-FinPerf RE'!D36</f>
        <v>375844.0000038147</v>
      </c>
      <c r="E257" s="628">
        <f>E247-'C4-FinPerf RE'!E36</f>
        <v>0</v>
      </c>
      <c r="F257" s="628">
        <f>F247-'C4-FinPerf RE'!F36</f>
        <v>0</v>
      </c>
      <c r="G257" s="628">
        <f>G247-'C4-FinPerf RE'!G36</f>
        <v>0</v>
      </c>
      <c r="H257" s="628">
        <f>H247-'C4-FinPerf RE'!H36</f>
        <v>0</v>
      </c>
      <c r="I257" s="628">
        <f>I247-'C4-FinPerf RE'!I36</f>
        <v>-5.4761767387390137E-7</v>
      </c>
      <c r="J257" s="629"/>
      <c r="K257" s="628">
        <f>K247-'C4-FinPerf RE'!K36</f>
        <v>0</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E16A1DD8-A25A-48CD-A451-F22D1F6BAE4E}">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2020-12-09T06:07:20Z</dcterms:modified>
</cp:coreProperties>
</file>